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2" activeTab="0"/>
  </bookViews>
  <sheets>
    <sheet name="【酪農（つなぎ）】" sheetId="1" r:id="rId1"/>
    <sheet name="【酪農（フリーストール）】" sheetId="2" r:id="rId2"/>
    <sheet name="【肉用牛繁殖】" sheetId="3" r:id="rId3"/>
    <sheet name="【肉用牛肥育（黒毛）】" sheetId="4" r:id="rId4"/>
    <sheet name="【肉用牛肥育（F1）】" sheetId="5" r:id="rId5"/>
    <sheet name="【肉用牛肥育（乳用種）】" sheetId="6" r:id="rId6"/>
    <sheet name="【養豚】" sheetId="7" r:id="rId7"/>
  </sheets>
  <definedNames>
    <definedName name="_xlnm.Print_Area" localSheetId="2">'【肉用牛繁殖】'!$B$1:$G$50</definedName>
    <definedName name="_xlnm.Print_Area" localSheetId="4">'【肉用牛肥育（F1）】'!$B$1:$G$50</definedName>
    <definedName name="_xlnm.Print_Area" localSheetId="3">'【肉用牛肥育（黒毛）】'!$B$1:$G$50</definedName>
    <definedName name="_xlnm.Print_Area" localSheetId="5">'【肉用牛肥育（乳用種）】'!$B$1:$G$49</definedName>
    <definedName name="_xlnm.Print_Area" localSheetId="6">'【養豚】'!$B$1:$G$49</definedName>
    <definedName name="_xlnm.Print_Area" localSheetId="0">'【酪農（つなぎ）】'!$B$1:$G$51</definedName>
    <definedName name="_xlnm.Print_Area" localSheetId="1">'【酪農（フリーストール）】'!$B$1:$G$51</definedName>
  </definedNames>
  <calcPr calcMode="manual" fullCalcOnLoad="1"/>
</workbook>
</file>

<file path=xl/sharedStrings.xml><?xml version="1.0" encoding="utf-8"?>
<sst xmlns="http://schemas.openxmlformats.org/spreadsheetml/2006/main" count="786" uniqueCount="190">
  <si>
    <t>１．生産の計画</t>
  </si>
  <si>
    <t>項　　　　目</t>
  </si>
  <si>
    <t>単位</t>
  </si>
  <si>
    <t>計画値</t>
  </si>
  <si>
    <t>説　　　　明</t>
  </si>
  <si>
    <t>種雌豚飼養頭数</t>
  </si>
  <si>
    <t>頭</t>
  </si>
  <si>
    <t>回</t>
  </si>
  <si>
    <t>日</t>
  </si>
  <si>
    <t>㎏</t>
  </si>
  <si>
    <t>２．生産性の評価</t>
  </si>
  <si>
    <t>頭</t>
  </si>
  <si>
    <t>３．収支の試算</t>
  </si>
  <si>
    <t>計画値</t>
  </si>
  <si>
    <t>円</t>
  </si>
  <si>
    <t xml:space="preserve">   肉豚販売収入</t>
  </si>
  <si>
    <t xml:space="preserve">   その他収入</t>
  </si>
  <si>
    <t xml:space="preserve">   事業外収入</t>
  </si>
  <si>
    <t>支出計</t>
  </si>
  <si>
    <t xml:space="preserve">   飼料費</t>
  </si>
  <si>
    <t xml:space="preserve">   もと畜費</t>
  </si>
  <si>
    <t xml:space="preserve">   診療医薬品費</t>
  </si>
  <si>
    <t xml:space="preserve">   その他費用</t>
  </si>
  <si>
    <t xml:space="preserve">   生産費用計</t>
  </si>
  <si>
    <t xml:space="preserve">   販売費および管理費</t>
  </si>
  <si>
    <t xml:space="preserve">   事業外支出</t>
  </si>
  <si>
    <t>収支差額</t>
  </si>
  <si>
    <t xml:space="preserve"> 収支差額</t>
  </si>
  <si>
    <t xml:space="preserve"> 借入金元金償還額   </t>
  </si>
  <si>
    <t xml:space="preserve"> 償還後の資金過不足</t>
  </si>
  <si>
    <t>金額</t>
  </si>
  <si>
    <t>肥育豚出荷日令</t>
  </si>
  <si>
    <t>肥育豚出荷体重</t>
  </si>
  <si>
    <t>ほ乳を開始した子豚のうち離乳した子豚の割合</t>
  </si>
  <si>
    <t>離乳した子豚のうち肥育途中で死亡した豚の割合</t>
  </si>
  <si>
    <t>出荷した肥育豚の日令の平均</t>
  </si>
  <si>
    <t>出荷した肥育豚の体重の平均</t>
  </si>
  <si>
    <t xml:space="preserve"> 借入金平均残高合計</t>
  </si>
  <si>
    <t>４．資金繰りの試算</t>
  </si>
  <si>
    <t>１腹あたりほ乳開始子豚数</t>
  </si>
  <si>
    <t>1腹のほ乳開始子豚数の平均</t>
  </si>
  <si>
    <t>経産牛飼養頭数</t>
  </si>
  <si>
    <t>経産牛
１頭当たり</t>
  </si>
  <si>
    <t>備考</t>
  </si>
  <si>
    <t>出荷牛乳
１㎏当たり</t>
  </si>
  <si>
    <t>出荷子牛
１頭当たり</t>
  </si>
  <si>
    <t>成雌牛
１頭当たり</t>
  </si>
  <si>
    <t>子牛出荷頭数</t>
  </si>
  <si>
    <t>飼養牛
１頭当たり</t>
  </si>
  <si>
    <t>出荷牛
１頭当たり</t>
  </si>
  <si>
    <t>経産牛頭数</t>
  </si>
  <si>
    <t xml:space="preserve">   牛乳販売収入</t>
  </si>
  <si>
    <t xml:space="preserve">   子牛販売収入</t>
  </si>
  <si>
    <t>肥育牛飼養頭数</t>
  </si>
  <si>
    <t>肥育牛出荷頭数</t>
  </si>
  <si>
    <t xml:space="preserve">   肥育牛販売収入</t>
  </si>
  <si>
    <t xml:space="preserve">   子牛育成牛販売収入</t>
  </si>
  <si>
    <t>円</t>
  </si>
  <si>
    <t xml:space="preserve">   購入飼料費</t>
  </si>
  <si>
    <t xml:space="preserve">   自給飼料費</t>
  </si>
  <si>
    <t xml:space="preserve">   種付料</t>
  </si>
  <si>
    <t>子牛分娩頭数</t>
  </si>
  <si>
    <t>子牛保留頭数</t>
  </si>
  <si>
    <t xml:space="preserve">   敷料費</t>
  </si>
  <si>
    <t>平均分娩間隔</t>
  </si>
  <si>
    <t>流産死産率</t>
  </si>
  <si>
    <t>子牛事故率</t>
  </si>
  <si>
    <t>　 去勢</t>
  </si>
  <si>
    <t>　 雌</t>
  </si>
  <si>
    <t>平均成牛飼養頭数</t>
  </si>
  <si>
    <t>平均肥育牛飼養頭数</t>
  </si>
  <si>
    <t>導入時体重</t>
  </si>
  <si>
    <t>肥育日数</t>
  </si>
  <si>
    <t>肥育牛事故率</t>
  </si>
  <si>
    <t>枝肉歩留</t>
  </si>
  <si>
    <t>肉質等級４以上率</t>
  </si>
  <si>
    <t>肥育牛導入頭数</t>
  </si>
  <si>
    <t>平均枝肉重量</t>
  </si>
  <si>
    <t>導入時月齢</t>
  </si>
  <si>
    <t>月</t>
  </si>
  <si>
    <t>出荷時月齢</t>
  </si>
  <si>
    <t>出荷時体重</t>
  </si>
  <si>
    <t>一日平均増体重</t>
  </si>
  <si>
    <t>格付</t>
  </si>
  <si>
    <t>合計</t>
  </si>
  <si>
    <t>割合</t>
  </si>
  <si>
    <t>単価</t>
  </si>
  <si>
    <t>肉質等級３・４率</t>
  </si>
  <si>
    <t>か月</t>
  </si>
  <si>
    <t>経産牛事故率</t>
  </si>
  <si>
    <t>経産牛更新率</t>
  </si>
  <si>
    <t>経産牛１頭あたり年間産乳量</t>
  </si>
  <si>
    <t>労働力１人当たり種雌豚飼養頭数</t>
  </si>
  <si>
    <t xml:space="preserve">   労働費</t>
  </si>
  <si>
    <t>必要労働力員数</t>
  </si>
  <si>
    <t>人</t>
  </si>
  <si>
    <t>労働力１人当たり経産牛飼養頭数</t>
  </si>
  <si>
    <t>労働力１人当たり成牛飼養頭数</t>
  </si>
  <si>
    <t>労働力１人当たり肥育牛飼養頭数</t>
  </si>
  <si>
    <t>経産牛更新頭数</t>
  </si>
  <si>
    <t>子牛生産頭数</t>
  </si>
  <si>
    <t>子牛販売頭数</t>
  </si>
  <si>
    <t>％</t>
  </si>
  <si>
    <t>％</t>
  </si>
  <si>
    <t>頭</t>
  </si>
  <si>
    <t>収入計</t>
  </si>
  <si>
    <t>更新牛外部導入割合</t>
  </si>
  <si>
    <t>成牛更新頭数</t>
  </si>
  <si>
    <t>成牛更新率</t>
  </si>
  <si>
    <t>成牛飼養頭数</t>
  </si>
  <si>
    <t>　うち外部導入頭数</t>
  </si>
  <si>
    <t>算出方法</t>
  </si>
  <si>
    <t>経産牛飼養頭数</t>
  </si>
  <si>
    <t>経産牛更新頭数×更新牛外部導入割合</t>
  </si>
  <si>
    <t>初産月齢</t>
  </si>
  <si>
    <t>子牛生産頭数－子牛保留頭数</t>
  </si>
  <si>
    <t>平均経産牛飼養頭数</t>
  </si>
  <si>
    <t>成牛頭数</t>
  </si>
  <si>
    <t>成牛飼養頭数</t>
  </si>
  <si>
    <t>成牛頭数×成牛更新率</t>
  </si>
  <si>
    <t>成牛更新頭数×更新牛外部導入割合</t>
  </si>
  <si>
    <t>肥育牛頭数</t>
  </si>
  <si>
    <t>肥育牛飼養頭数</t>
  </si>
  <si>
    <t>種雌豚頭数</t>
  </si>
  <si>
    <t>（出荷時体重－導入時体重）÷肥育日数</t>
  </si>
  <si>
    <t>出荷時体重×枝肉歩留</t>
  </si>
  <si>
    <t>種雌豚更新率</t>
  </si>
  <si>
    <t>種雌豚導入頭数</t>
  </si>
  <si>
    <t>枝肉歩留</t>
  </si>
  <si>
    <t>平均枝肉重量</t>
  </si>
  <si>
    <t>ほ乳開始子豚頭数</t>
  </si>
  <si>
    <t>離乳子豚頭数</t>
  </si>
  <si>
    <t>肉豚出荷頭数</t>
  </si>
  <si>
    <t>種雌豚飼養頭数</t>
  </si>
  <si>
    <t>種雌豚頭数×種雌豚更新率</t>
  </si>
  <si>
    <t>ほ乳開始子豚頭数×離乳時育成率</t>
  </si>
  <si>
    <t>肥育豚出荷体重×枝肉歩留</t>
  </si>
  <si>
    <t>肥育牛
１頭当たり</t>
  </si>
  <si>
    <t>肉質等級５：25％、４：40％、３：25％、２：10％</t>
  </si>
  <si>
    <t>肉質等級４：30％、３：30％、２：40％</t>
  </si>
  <si>
    <t>経産牛更新頭数－外部導入頭数</t>
  </si>
  <si>
    <t>流産・死産率</t>
  </si>
  <si>
    <t>経産牛頭数×経産牛更新率</t>
  </si>
  <si>
    <t>平均種雌豚飼養頭数</t>
  </si>
  <si>
    <t>％</t>
  </si>
  <si>
    <t>分娩回転数</t>
  </si>
  <si>
    <t>離乳時育成率</t>
  </si>
  <si>
    <t>％</t>
  </si>
  <si>
    <t>肥育豚事故率</t>
  </si>
  <si>
    <t>％</t>
  </si>
  <si>
    <t>㎏</t>
  </si>
  <si>
    <t>種雌豚
１頭当たり</t>
  </si>
  <si>
    <t>出荷肉豚
１頭当たり</t>
  </si>
  <si>
    <t>収入計</t>
  </si>
  <si>
    <t>㎏</t>
  </si>
  <si>
    <t>㎏</t>
  </si>
  <si>
    <t>％</t>
  </si>
  <si>
    <t>％</t>
  </si>
  <si>
    <t>㎏</t>
  </si>
  <si>
    <t>㎏</t>
  </si>
  <si>
    <t>収入計</t>
  </si>
  <si>
    <t>％</t>
  </si>
  <si>
    <t>％</t>
  </si>
  <si>
    <t>㎏</t>
  </si>
  <si>
    <t>収入計</t>
  </si>
  <si>
    <t xml:space="preserve"> 収支差額</t>
  </si>
  <si>
    <t>経産牛頭数×12÷平均分娩間隔×（1－流産・死産率）</t>
  </si>
  <si>
    <t>経産牛頭数÷労働力1人あたり経産牛飼養頭数</t>
  </si>
  <si>
    <t>成牛頭数×（1－流産死産率）×12÷平均分娩間隔</t>
  </si>
  <si>
    <t>（成牛更新頭数－外部導入頭数）÷（1－子牛事故率）</t>
  </si>
  <si>
    <t>子牛分娩頭数×（1－子牛事故率）÷2</t>
  </si>
  <si>
    <t>子牛分娩頭数×（1－子牛事故率）÷2－子牛保留頭数</t>
  </si>
  <si>
    <t>成牛頭数÷労働力1人あたり成牛飼養頭数</t>
  </si>
  <si>
    <t>肥育牛頭数×12÷（出荷時月齢－導入時月齢）</t>
  </si>
  <si>
    <t>肥育牛頭数×（1－肥育牛事故率）／（出荷時月齢－導入時月齢）／12</t>
  </si>
  <si>
    <t>（出荷時月齢－導入時月齢）×30.4</t>
  </si>
  <si>
    <t>肥育牛頭数÷労働力1人あたり肥育牛飼養頭数</t>
  </si>
  <si>
    <t>種雌豚頭数×分娩回転数×1腹あたりほ乳開始頭数</t>
  </si>
  <si>
    <t>離乳子豚頭数×（1－肥育豚事故率）</t>
  </si>
  <si>
    <t>種雌豚頭数÷労働力1人あたり種雌豚飼養頭数</t>
  </si>
  <si>
    <t>1頭の種雌豚が1年間に分娩した回数</t>
  </si>
  <si>
    <t>枝肉1㎏当たり
販売価格（税抜き）</t>
  </si>
  <si>
    <t>導入豚1頭あたり
購入価格（税抜き）</t>
  </si>
  <si>
    <t>労働1時間当たり
賃金</t>
  </si>
  <si>
    <t>導入牛1頭あたり
購入価格（税抜き）</t>
  </si>
  <si>
    <t>去勢子牛1頭当たり販売価格（税抜き）</t>
  </si>
  <si>
    <t>雌子牛1頭当たり販売価格（税抜き）</t>
  </si>
  <si>
    <t>導入牛1頭あたり
購入価格</t>
  </si>
  <si>
    <t>生乳1㎏当たり
販売価格（税抜き）</t>
  </si>
  <si>
    <t>子牛1頭あたり
販売価格（税抜き）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</si>
</sst>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.0_);[Red]\(#,##0.0\)"/>
    <numFmt numFmtId="179" formatCode="0.00_ "/>
    <numFmt numFmtId="180" formatCode="0.0_ "/>
    <numFmt numFmtId="181" formatCode="#,##0_ "/>
    <numFmt numFmtId="182" formatCode="0_ "/>
    <numFmt numFmtId="183" formatCode="#,##0_ ;[Red]\-#,##0\ "/>
    <numFmt numFmtId="184" formatCode="0_ &quot;円&quot;"/>
    <numFmt numFmtId="185" formatCode="#,##0;[Red]\-#,##0&quot;円&quot;"/>
    <numFmt numFmtId="186" formatCode="#,##0_ &quot;円&quot;"/>
    <numFmt numFmtId="187" formatCode="#,##0.000_);[Red]\(#,##0.000\)"/>
    <numFmt numFmtId="188" formatCode="#,##0.0;[Red]\-#,##0.0"/>
    <numFmt numFmtId="189" formatCode="#,##0.0_ ;[Red]\-#,##0.0\ "/>
    <numFmt numFmtId="190" formatCode="#,##0.0000_);[Red]\(#,##0.0000\)"/>
    <numFmt numFmtId="191" formatCode="#,##0.00_ ;[Red]\-#,##0.00\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10.5"/>
      <color indexed="10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Continuous" vertical="center"/>
      <protection hidden="1"/>
    </xf>
    <xf numFmtId="0" fontId="4" fillId="0" borderId="3" xfId="0" applyFont="1" applyFill="1" applyBorder="1" applyAlignment="1" applyProtection="1">
      <alignment horizontal="centerContinuous" vertical="center"/>
      <protection hidden="1"/>
    </xf>
    <xf numFmtId="0" fontId="4" fillId="0" borderId="4" xfId="0" applyFont="1" applyFill="1" applyBorder="1" applyAlignment="1" applyProtection="1">
      <alignment horizontal="centerContinuous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176" fontId="6" fillId="0" borderId="5" xfId="17" applyNumberFormat="1" applyFont="1" applyFill="1" applyBorder="1" applyAlignment="1" applyProtection="1">
      <alignment horizontal="right"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76" fontId="6" fillId="0" borderId="9" xfId="17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178" fontId="6" fillId="0" borderId="9" xfId="17" applyNumberFormat="1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176" fontId="6" fillId="0" borderId="13" xfId="17" applyNumberFormat="1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38" fontId="4" fillId="0" borderId="0" xfId="17" applyFont="1" applyFill="1" applyBorder="1" applyAlignment="1" applyProtection="1">
      <alignment/>
      <protection hidden="1"/>
    </xf>
    <xf numFmtId="0" fontId="5" fillId="0" borderId="0" xfId="0" applyFont="1" applyFill="1" applyAlignment="1" applyProtection="1" quotePrefix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178" fontId="4" fillId="0" borderId="8" xfId="17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left" vertical="center"/>
      <protection hidden="1"/>
    </xf>
    <xf numFmtId="183" fontId="4" fillId="0" borderId="10" xfId="17" applyNumberFormat="1" applyFont="1" applyFill="1" applyBorder="1" applyAlignment="1" applyProtection="1">
      <alignment vertical="center"/>
      <protection hidden="1"/>
    </xf>
    <xf numFmtId="189" fontId="4" fillId="0" borderId="10" xfId="17" applyNumberFormat="1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horizontal="left" vertical="center" shrinkToFit="1"/>
      <protection hidden="1"/>
    </xf>
    <xf numFmtId="180" fontId="4" fillId="0" borderId="14" xfId="0" applyNumberFormat="1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181" fontId="4" fillId="0" borderId="0" xfId="0" applyNumberFormat="1" applyFont="1" applyFill="1" applyAlignment="1">
      <alignment/>
    </xf>
    <xf numFmtId="181" fontId="5" fillId="0" borderId="0" xfId="0" applyNumberFormat="1" applyFont="1" applyFill="1" applyAlignment="1" applyProtection="1" quotePrefix="1">
      <alignment horizontal="left"/>
      <protection hidden="1"/>
    </xf>
    <xf numFmtId="181" fontId="4" fillId="0" borderId="0" xfId="0" applyNumberFormat="1" applyFont="1" applyFill="1" applyAlignment="1" applyProtection="1">
      <alignment/>
      <protection hidden="1"/>
    </xf>
    <xf numFmtId="181" fontId="4" fillId="0" borderId="2" xfId="0" applyNumberFormat="1" applyFont="1" applyFill="1" applyBorder="1" applyAlignment="1" applyProtection="1">
      <alignment horizontal="center" vertical="center"/>
      <protection hidden="1"/>
    </xf>
    <xf numFmtId="181" fontId="4" fillId="0" borderId="18" xfId="0" applyNumberFormat="1" applyFont="1" applyFill="1" applyBorder="1" applyAlignment="1" applyProtection="1">
      <alignment horizontal="centerContinuous" vertical="center" wrapText="1"/>
      <protection hidden="1"/>
    </xf>
    <xf numFmtId="181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181" fontId="4" fillId="0" borderId="5" xfId="0" applyNumberFormat="1" applyFont="1" applyFill="1" applyBorder="1" applyAlignment="1" applyProtection="1">
      <alignment horizontal="left" vertical="center"/>
      <protection hidden="1"/>
    </xf>
    <xf numFmtId="181" fontId="4" fillId="0" borderId="5" xfId="0" applyNumberFormat="1" applyFont="1" applyFill="1" applyBorder="1" applyAlignment="1" applyProtection="1">
      <alignment horizontal="center" vertical="center"/>
      <protection hidden="1"/>
    </xf>
    <xf numFmtId="181" fontId="4" fillId="0" borderId="5" xfId="17" applyNumberFormat="1" applyFont="1" applyFill="1" applyBorder="1" applyAlignment="1" applyProtection="1">
      <alignment vertical="center"/>
      <protection hidden="1"/>
    </xf>
    <xf numFmtId="181" fontId="4" fillId="0" borderId="9" xfId="0" applyNumberFormat="1" applyFont="1" applyFill="1" applyBorder="1" applyAlignment="1" applyProtection="1">
      <alignment horizontal="left" vertical="center"/>
      <protection hidden="1"/>
    </xf>
    <xf numFmtId="181" fontId="4" fillId="0" borderId="9" xfId="0" applyNumberFormat="1" applyFont="1" applyFill="1" applyBorder="1" applyAlignment="1" applyProtection="1">
      <alignment horizontal="center" vertical="center"/>
      <protection hidden="1"/>
    </xf>
    <xf numFmtId="181" fontId="4" fillId="0" borderId="9" xfId="17" applyNumberFormat="1" applyFont="1" applyFill="1" applyBorder="1" applyAlignment="1" applyProtection="1">
      <alignment vertical="center"/>
      <protection hidden="1"/>
    </xf>
    <xf numFmtId="181" fontId="6" fillId="0" borderId="9" xfId="17" applyNumberFormat="1" applyFont="1" applyFill="1" applyBorder="1" applyAlignment="1" applyProtection="1">
      <alignment vertical="center"/>
      <protection hidden="1"/>
    </xf>
    <xf numFmtId="186" fontId="6" fillId="0" borderId="20" xfId="17" applyNumberFormat="1" applyFont="1" applyFill="1" applyBorder="1" applyAlignment="1" applyProtection="1">
      <alignment vertical="center"/>
      <protection hidden="1"/>
    </xf>
    <xf numFmtId="181" fontId="4" fillId="0" borderId="20" xfId="17" applyNumberFormat="1" applyFont="1" applyFill="1" applyBorder="1" applyAlignment="1" applyProtection="1">
      <alignment vertical="center"/>
      <protection hidden="1"/>
    </xf>
    <xf numFmtId="181" fontId="4" fillId="0" borderId="17" xfId="0" applyNumberFormat="1" applyFont="1" applyFill="1" applyBorder="1" applyAlignment="1" applyProtection="1">
      <alignment horizontal="left" vertical="center"/>
      <protection hidden="1"/>
    </xf>
    <xf numFmtId="181" fontId="4" fillId="0" borderId="17" xfId="0" applyNumberFormat="1" applyFont="1" applyFill="1" applyBorder="1" applyAlignment="1" applyProtection="1">
      <alignment horizontal="center" vertical="center"/>
      <protection hidden="1"/>
    </xf>
    <xf numFmtId="181" fontId="4" fillId="0" borderId="17" xfId="17" applyNumberFormat="1" applyFont="1" applyFill="1" applyBorder="1" applyAlignment="1" applyProtection="1">
      <alignment vertical="center"/>
      <protection hidden="1"/>
    </xf>
    <xf numFmtId="181" fontId="4" fillId="0" borderId="14" xfId="17" applyNumberFormat="1" applyFont="1" applyFill="1" applyBorder="1" applyAlignment="1" applyProtection="1">
      <alignment vertical="center"/>
      <protection hidden="1"/>
    </xf>
    <xf numFmtId="181" fontId="5" fillId="0" borderId="0" xfId="0" applyNumberFormat="1" applyFont="1" applyFill="1" applyAlignment="1" applyProtection="1">
      <alignment/>
      <protection hidden="1"/>
    </xf>
    <xf numFmtId="181" fontId="4" fillId="0" borderId="0" xfId="0" applyNumberFormat="1" applyFont="1" applyFill="1" applyAlignment="1" applyProtection="1">
      <alignment horizontal="center"/>
      <protection hidden="1"/>
    </xf>
    <xf numFmtId="181" fontId="4" fillId="0" borderId="5" xfId="0" applyNumberFormat="1" applyFont="1" applyFill="1" applyBorder="1" applyAlignment="1">
      <alignment vertical="center"/>
    </xf>
    <xf numFmtId="181" fontId="4" fillId="0" borderId="18" xfId="17" applyNumberFormat="1" applyFont="1" applyFill="1" applyBorder="1" applyAlignment="1" applyProtection="1">
      <alignment vertical="center"/>
      <protection hidden="1"/>
    </xf>
    <xf numFmtId="181" fontId="4" fillId="0" borderId="9" xfId="0" applyNumberFormat="1" applyFont="1" applyFill="1" applyBorder="1" applyAlignment="1">
      <alignment vertical="center"/>
    </xf>
    <xf numFmtId="181" fontId="6" fillId="0" borderId="10" xfId="17" applyNumberFormat="1" applyFont="1" applyFill="1" applyBorder="1" applyAlignment="1">
      <alignment vertical="center"/>
    </xf>
    <xf numFmtId="181" fontId="4" fillId="0" borderId="9" xfId="17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181" fontId="6" fillId="0" borderId="21" xfId="17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 applyProtection="1">
      <alignment/>
      <protection hidden="1"/>
    </xf>
    <xf numFmtId="0" fontId="4" fillId="0" borderId="22" xfId="0" applyFont="1" applyFill="1" applyBorder="1" applyAlignment="1" applyProtection="1">
      <alignment horizontal="left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189" fontId="6" fillId="0" borderId="22" xfId="17" applyNumberFormat="1" applyFont="1" applyFill="1" applyBorder="1" applyAlignment="1" applyProtection="1">
      <alignment horizontal="right" vertical="center"/>
      <protection hidden="1"/>
    </xf>
    <xf numFmtId="0" fontId="4" fillId="0" borderId="22" xfId="0" applyFont="1" applyFill="1" applyBorder="1" applyAlignment="1" applyProtection="1">
      <alignment vertical="center"/>
      <protection hidden="1"/>
    </xf>
    <xf numFmtId="0" fontId="4" fillId="0" borderId="24" xfId="0" applyFont="1" applyFill="1" applyBorder="1" applyAlignment="1" applyProtection="1">
      <alignment vertical="center"/>
      <protection hidden="1"/>
    </xf>
    <xf numFmtId="0" fontId="4" fillId="0" borderId="25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>
      <alignment horizontal="left" vertical="center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176" fontId="6" fillId="0" borderId="17" xfId="17" applyNumberFormat="1" applyFont="1" applyFill="1" applyBorder="1" applyAlignment="1" applyProtection="1">
      <alignment vertical="center"/>
      <protection hidden="1"/>
    </xf>
    <xf numFmtId="0" fontId="4" fillId="0" borderId="26" xfId="0" applyFont="1" applyFill="1" applyBorder="1" applyAlignment="1" applyProtection="1">
      <alignment vertical="center"/>
      <protection hidden="1"/>
    </xf>
    <xf numFmtId="0" fontId="4" fillId="0" borderId="27" xfId="0" applyFont="1" applyFill="1" applyBorder="1" applyAlignment="1" applyProtection="1">
      <alignment vertical="center"/>
      <protection hidden="1"/>
    </xf>
    <xf numFmtId="178" fontId="4" fillId="0" borderId="25" xfId="17" applyNumberFormat="1" applyFont="1" applyFill="1" applyBorder="1" applyAlignment="1" applyProtection="1">
      <alignment vertical="center"/>
      <protection hidden="1"/>
    </xf>
    <xf numFmtId="178" fontId="4" fillId="0" borderId="10" xfId="17" applyNumberFormat="1" applyFont="1" applyFill="1" applyBorder="1" applyAlignment="1" applyProtection="1">
      <alignment vertical="center"/>
      <protection hidden="1"/>
    </xf>
    <xf numFmtId="183" fontId="4" fillId="0" borderId="12" xfId="17" applyNumberFormat="1" applyFont="1" applyFill="1" applyBorder="1" applyAlignment="1" applyProtection="1">
      <alignment vertical="center"/>
      <protection hidden="1"/>
    </xf>
    <xf numFmtId="191" fontId="4" fillId="0" borderId="12" xfId="17" applyNumberFormat="1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horizontal="left" vertical="center" shrinkToFit="1"/>
      <protection hidden="1"/>
    </xf>
    <xf numFmtId="180" fontId="4" fillId="0" borderId="21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8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81" fontId="4" fillId="0" borderId="29" xfId="17" applyNumberFormat="1" applyFont="1" applyFill="1" applyBorder="1" applyAlignment="1" applyProtection="1">
      <alignment vertical="center"/>
      <protection hidden="1"/>
    </xf>
    <xf numFmtId="181" fontId="4" fillId="0" borderId="6" xfId="17" applyNumberFormat="1" applyFont="1" applyFill="1" applyBorder="1" applyAlignment="1">
      <alignment vertical="center"/>
    </xf>
    <xf numFmtId="181" fontId="4" fillId="0" borderId="10" xfId="17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38" fontId="4" fillId="0" borderId="2" xfId="17" applyFont="1" applyFill="1" applyBorder="1" applyAlignment="1">
      <alignment/>
    </xf>
    <xf numFmtId="38" fontId="4" fillId="0" borderId="0" xfId="17" applyFont="1" applyFill="1" applyAlignment="1">
      <alignment/>
    </xf>
    <xf numFmtId="0" fontId="4" fillId="0" borderId="28" xfId="0" applyFont="1" applyFill="1" applyBorder="1" applyAlignment="1">
      <alignment horizontal="left" vertical="center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176" fontId="6" fillId="0" borderId="28" xfId="17" applyNumberFormat="1" applyFont="1" applyFill="1" applyBorder="1" applyAlignment="1" applyProtection="1">
      <alignment vertical="center"/>
      <protection hidden="1"/>
    </xf>
    <xf numFmtId="0" fontId="4" fillId="0" borderId="31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183" fontId="4" fillId="0" borderId="32" xfId="17" applyNumberFormat="1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horizontal="left" vertical="center"/>
      <protection hidden="1"/>
    </xf>
    <xf numFmtId="189" fontId="4" fillId="0" borderId="12" xfId="17" applyNumberFormat="1" applyFont="1" applyFill="1" applyBorder="1" applyAlignment="1" applyProtection="1">
      <alignment vertical="center"/>
      <protection hidden="1"/>
    </xf>
    <xf numFmtId="178" fontId="4" fillId="0" borderId="12" xfId="17" applyNumberFormat="1" applyFont="1" applyFill="1" applyBorder="1" applyAlignment="1" applyProtection="1">
      <alignment vertical="center"/>
      <protection hidden="1"/>
    </xf>
    <xf numFmtId="176" fontId="4" fillId="0" borderId="10" xfId="0" applyNumberFormat="1" applyFont="1" applyFill="1" applyBorder="1" applyAlignment="1" applyProtection="1">
      <alignment vertical="center"/>
      <protection hidden="1"/>
    </xf>
    <xf numFmtId="178" fontId="4" fillId="0" borderId="30" xfId="0" applyNumberFormat="1" applyFont="1" applyFill="1" applyBorder="1" applyAlignment="1" applyProtection="1">
      <alignment vertical="center"/>
      <protection hidden="1"/>
    </xf>
    <xf numFmtId="181" fontId="4" fillId="0" borderId="0" xfId="0" applyNumberFormat="1" applyFont="1" applyFill="1" applyBorder="1" applyAlignment="1" applyProtection="1">
      <alignment horizontal="center" vertical="center"/>
      <protection hidden="1"/>
    </xf>
    <xf numFmtId="181" fontId="4" fillId="0" borderId="0" xfId="17" applyNumberFormat="1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horizontal="centerContinuous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183" fontId="4" fillId="0" borderId="5" xfId="17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183" fontId="4" fillId="0" borderId="9" xfId="17" applyNumberFormat="1" applyFont="1" applyFill="1" applyBorder="1" applyAlignment="1" applyProtection="1">
      <alignment vertical="center"/>
      <protection hidden="1"/>
    </xf>
    <xf numFmtId="184" fontId="6" fillId="0" borderId="20" xfId="17" applyNumberFormat="1" applyFont="1" applyFill="1" applyBorder="1" applyAlignment="1" applyProtection="1">
      <alignment vertical="center"/>
      <protection hidden="1"/>
    </xf>
    <xf numFmtId="183" fontId="6" fillId="0" borderId="9" xfId="17" applyNumberFormat="1" applyFont="1" applyFill="1" applyBorder="1" applyAlignment="1" applyProtection="1">
      <alignment vertical="center"/>
      <protection hidden="1"/>
    </xf>
    <xf numFmtId="183" fontId="4" fillId="0" borderId="20" xfId="17" applyNumberFormat="1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183" fontId="4" fillId="0" borderId="14" xfId="17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/>
      <protection hidden="1"/>
    </xf>
    <xf numFmtId="38" fontId="4" fillId="0" borderId="18" xfId="17" applyFont="1" applyFill="1" applyBorder="1" applyAlignment="1" applyProtection="1">
      <alignment vertical="center"/>
      <protection hidden="1"/>
    </xf>
    <xf numFmtId="38" fontId="4" fillId="0" borderId="20" xfId="17" applyFont="1" applyFill="1" applyBorder="1" applyAlignment="1" applyProtection="1">
      <alignment vertical="center"/>
      <protection hidden="1"/>
    </xf>
    <xf numFmtId="38" fontId="4" fillId="0" borderId="14" xfId="17" applyFont="1" applyFill="1" applyBorder="1" applyAlignment="1" applyProtection="1">
      <alignment vertical="center"/>
      <protection hidden="1"/>
    </xf>
    <xf numFmtId="181" fontId="4" fillId="0" borderId="20" xfId="0" applyNumberFormat="1" applyFont="1" applyFill="1" applyBorder="1" applyAlignment="1">
      <alignment horizontal="left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183" fontId="4" fillId="0" borderId="18" xfId="17" applyNumberFormat="1" applyFont="1" applyFill="1" applyBorder="1" applyAlignment="1" applyProtection="1">
      <alignment horizontal="left" vertical="center" wrapText="1"/>
      <protection hidden="1"/>
    </xf>
    <xf numFmtId="183" fontId="4" fillId="0" borderId="20" xfId="17" applyNumberFormat="1" applyFont="1" applyFill="1" applyBorder="1" applyAlignment="1" applyProtection="1">
      <alignment horizontal="left" vertical="center" wrapText="1"/>
      <protection hidden="1"/>
    </xf>
    <xf numFmtId="0" fontId="4" fillId="0" borderId="20" xfId="0" applyFont="1" applyFill="1" applyBorder="1" applyAlignment="1">
      <alignment horizontal="left" wrapText="1"/>
    </xf>
    <xf numFmtId="181" fontId="4" fillId="0" borderId="19" xfId="0" applyNumberFormat="1" applyFont="1" applyFill="1" applyBorder="1" applyAlignment="1" applyProtection="1">
      <alignment horizontal="center" vertical="center"/>
      <protection hidden="1"/>
    </xf>
    <xf numFmtId="181" fontId="4" fillId="0" borderId="13" xfId="0" applyNumberFormat="1" applyFont="1" applyFill="1" applyBorder="1" applyAlignment="1" applyProtection="1">
      <alignment horizontal="center" vertical="center"/>
      <protection hidden="1"/>
    </xf>
    <xf numFmtId="181" fontId="4" fillId="0" borderId="18" xfId="0" applyNumberFormat="1" applyFont="1" applyFill="1" applyBorder="1" applyAlignment="1" applyProtection="1">
      <alignment horizontal="center" vertical="center"/>
      <protection hidden="1"/>
    </xf>
    <xf numFmtId="181" fontId="4" fillId="0" borderId="14" xfId="0" applyNumberFormat="1" applyFont="1" applyFill="1" applyBorder="1" applyAlignment="1" applyProtection="1">
      <alignment horizontal="center" vertical="center"/>
      <protection hidden="1"/>
    </xf>
    <xf numFmtId="181" fontId="4" fillId="0" borderId="1" xfId="0" applyNumberFormat="1" applyFont="1" applyFill="1" applyBorder="1" applyAlignment="1" applyProtection="1">
      <alignment horizontal="center" vertical="center"/>
      <protection hidden="1"/>
    </xf>
    <xf numFmtId="181" fontId="4" fillId="0" borderId="3" xfId="0" applyNumberFormat="1" applyFont="1" applyFill="1" applyBorder="1" applyAlignment="1" applyProtection="1">
      <alignment horizontal="center" vertical="center"/>
      <protection hidden="1"/>
    </xf>
    <xf numFmtId="181" fontId="4" fillId="0" borderId="18" xfId="17" applyNumberFormat="1" applyFont="1" applyFill="1" applyBorder="1" applyAlignment="1" applyProtection="1">
      <alignment horizontal="left" vertical="center" wrapText="1"/>
      <protection hidden="1"/>
    </xf>
    <xf numFmtId="181" fontId="4" fillId="0" borderId="20" xfId="17" applyNumberFormat="1" applyFont="1" applyFill="1" applyBorder="1" applyAlignment="1" applyProtection="1">
      <alignment horizontal="left" vertical="center" wrapText="1"/>
      <protection hidden="1"/>
    </xf>
    <xf numFmtId="181" fontId="4" fillId="0" borderId="20" xfId="0" applyNumberFormat="1" applyFont="1" applyFill="1" applyBorder="1" applyAlignment="1">
      <alignment horizontal="left" wrapText="1"/>
    </xf>
    <xf numFmtId="0" fontId="4" fillId="0" borderId="9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left" vertical="center" wrapText="1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2"/>
  <sheetViews>
    <sheetView showGridLines="0" showZeros="0" tabSelected="1" workbookViewId="0" topLeftCell="A1">
      <selection activeCell="E7" sqref="E7"/>
    </sheetView>
  </sheetViews>
  <sheetFormatPr defaultColWidth="9.00390625" defaultRowHeight="15.75" customHeight="1"/>
  <cols>
    <col min="1" max="1" width="0.875" style="1" customWidth="1"/>
    <col min="2" max="2" width="30.625" style="1" customWidth="1"/>
    <col min="3" max="3" width="6.625" style="1" customWidth="1"/>
    <col min="4" max="6" width="15.625" style="1" customWidth="1"/>
    <col min="7" max="7" width="18.625" style="1" customWidth="1"/>
    <col min="8" max="8" width="20.875" style="1" customWidth="1"/>
    <col min="9" max="9" width="9.125" style="1" bestFit="1" customWidth="1"/>
    <col min="10" max="16384" width="9.00390625" style="1" customWidth="1"/>
  </cols>
  <sheetData>
    <row r="1" spans="2:8" ht="15.75" customHeight="1">
      <c r="B1" s="2" t="s">
        <v>0</v>
      </c>
      <c r="C1" s="3"/>
      <c r="D1" s="3"/>
      <c r="E1" s="3"/>
      <c r="F1" s="3"/>
      <c r="G1" s="3"/>
      <c r="H1" s="3"/>
    </row>
    <row r="2" spans="2:7" ht="15.75" customHeight="1">
      <c r="B2" s="4" t="s">
        <v>1</v>
      </c>
      <c r="C2" s="5" t="s">
        <v>2</v>
      </c>
      <c r="D2" s="5" t="s">
        <v>3</v>
      </c>
      <c r="E2" s="6" t="s">
        <v>4</v>
      </c>
      <c r="F2" s="7"/>
      <c r="G2" s="8"/>
    </row>
    <row r="3" spans="2:7" ht="15.75" customHeight="1">
      <c r="B3" s="9" t="s">
        <v>41</v>
      </c>
      <c r="C3" s="10" t="s">
        <v>6</v>
      </c>
      <c r="D3" s="11">
        <v>50</v>
      </c>
      <c r="E3" s="12" t="s">
        <v>116</v>
      </c>
      <c r="F3" s="13"/>
      <c r="G3" s="14"/>
    </row>
    <row r="4" spans="2:7" ht="15.75" customHeight="1">
      <c r="B4" s="70" t="s">
        <v>114</v>
      </c>
      <c r="C4" s="16" t="s">
        <v>88</v>
      </c>
      <c r="D4" s="21">
        <v>25</v>
      </c>
      <c r="E4" s="73"/>
      <c r="F4" s="74"/>
      <c r="G4" s="75"/>
    </row>
    <row r="5" spans="2:7" ht="15.75" customHeight="1">
      <c r="B5" s="15" t="s">
        <v>64</v>
      </c>
      <c r="C5" s="16" t="s">
        <v>88</v>
      </c>
      <c r="D5" s="21">
        <v>13.2</v>
      </c>
      <c r="E5" s="18"/>
      <c r="F5" s="19"/>
      <c r="G5" s="20"/>
    </row>
    <row r="6" spans="2:7" ht="15.75" customHeight="1">
      <c r="B6" s="15" t="s">
        <v>141</v>
      </c>
      <c r="C6" s="16" t="s">
        <v>102</v>
      </c>
      <c r="D6" s="21">
        <v>4</v>
      </c>
      <c r="E6" s="18"/>
      <c r="F6" s="19"/>
      <c r="G6" s="20"/>
    </row>
    <row r="7" spans="2:7" ht="15.75" customHeight="1">
      <c r="B7" s="15" t="s">
        <v>89</v>
      </c>
      <c r="C7" s="22" t="s">
        <v>162</v>
      </c>
      <c r="D7" s="17">
        <v>5</v>
      </c>
      <c r="E7" s="18"/>
      <c r="F7" s="19"/>
      <c r="G7" s="20"/>
    </row>
    <row r="8" spans="2:7" ht="15.75" customHeight="1">
      <c r="B8" s="15" t="s">
        <v>90</v>
      </c>
      <c r="C8" s="16" t="s">
        <v>162</v>
      </c>
      <c r="D8" s="17">
        <v>23</v>
      </c>
      <c r="E8" s="18"/>
      <c r="F8" s="19"/>
      <c r="G8" s="20"/>
    </row>
    <row r="9" spans="2:7" ht="15.75" customHeight="1">
      <c r="B9" s="15" t="s">
        <v>106</v>
      </c>
      <c r="C9" s="16" t="s">
        <v>161</v>
      </c>
      <c r="D9" s="17">
        <v>0</v>
      </c>
      <c r="E9" s="18"/>
      <c r="F9" s="19"/>
      <c r="G9" s="20"/>
    </row>
    <row r="10" spans="2:7" ht="15.75" customHeight="1">
      <c r="B10" s="15" t="s">
        <v>91</v>
      </c>
      <c r="C10" s="22" t="s">
        <v>163</v>
      </c>
      <c r="D10" s="17">
        <v>8000</v>
      </c>
      <c r="E10" s="18"/>
      <c r="F10" s="19"/>
      <c r="G10" s="20"/>
    </row>
    <row r="11" spans="2:7" ht="15.75" customHeight="1">
      <c r="B11" s="23" t="s">
        <v>96</v>
      </c>
      <c r="C11" s="24" t="s">
        <v>104</v>
      </c>
      <c r="D11" s="25">
        <v>17</v>
      </c>
      <c r="E11" s="26"/>
      <c r="F11" s="27"/>
      <c r="G11" s="28"/>
    </row>
    <row r="12" spans="2:7" ht="15.75" customHeight="1">
      <c r="B12" s="29"/>
      <c r="C12" s="30"/>
      <c r="D12" s="31"/>
      <c r="E12" s="3"/>
      <c r="F12" s="3"/>
      <c r="G12" s="3"/>
    </row>
    <row r="13" spans="2:7" ht="15.75" customHeight="1">
      <c r="B13" s="32" t="s">
        <v>10</v>
      </c>
      <c r="C13" s="33"/>
      <c r="D13" s="3"/>
      <c r="E13" s="3"/>
      <c r="F13" s="3"/>
      <c r="G13" s="3"/>
    </row>
    <row r="14" spans="2:7" ht="15.75" customHeight="1">
      <c r="B14" s="4" t="s">
        <v>1</v>
      </c>
      <c r="C14" s="4" t="s">
        <v>2</v>
      </c>
      <c r="D14" s="5" t="s">
        <v>3</v>
      </c>
      <c r="E14" s="6" t="s">
        <v>111</v>
      </c>
      <c r="F14" s="7"/>
      <c r="G14" s="8"/>
    </row>
    <row r="15" spans="2:7" ht="15.75" customHeight="1">
      <c r="B15" s="9" t="s">
        <v>50</v>
      </c>
      <c r="C15" s="10" t="s">
        <v>6</v>
      </c>
      <c r="D15" s="34">
        <f>+D3</f>
        <v>50</v>
      </c>
      <c r="E15" s="12" t="s">
        <v>112</v>
      </c>
      <c r="F15" s="13"/>
      <c r="G15" s="14"/>
    </row>
    <row r="16" spans="2:7" ht="15.75" customHeight="1">
      <c r="B16" s="15" t="s">
        <v>91</v>
      </c>
      <c r="C16" s="71" t="s">
        <v>163</v>
      </c>
      <c r="D16" s="36">
        <f>+D10</f>
        <v>8000</v>
      </c>
      <c r="E16" s="73"/>
      <c r="F16" s="74"/>
      <c r="G16" s="75"/>
    </row>
    <row r="17" spans="2:7" ht="15.75" customHeight="1">
      <c r="B17" s="35" t="s">
        <v>100</v>
      </c>
      <c r="C17" s="71" t="s">
        <v>11</v>
      </c>
      <c r="D17" s="106">
        <f>+ROUNDDOWN(D3*12/D5*(100-D6)/100,1)</f>
        <v>43.6</v>
      </c>
      <c r="E17" s="73" t="s">
        <v>166</v>
      </c>
      <c r="F17" s="74"/>
      <c r="G17" s="75"/>
    </row>
    <row r="18" spans="2:7" ht="15.75" customHeight="1">
      <c r="B18" s="15" t="s">
        <v>99</v>
      </c>
      <c r="C18" s="22" t="s">
        <v>11</v>
      </c>
      <c r="D18" s="106">
        <f>+ROUNDUP(D3*D8/100,1)</f>
        <v>11.5</v>
      </c>
      <c r="E18" s="18" t="s">
        <v>142</v>
      </c>
      <c r="F18" s="19"/>
      <c r="G18" s="20"/>
    </row>
    <row r="19" spans="2:7" ht="15.75" customHeight="1">
      <c r="B19" s="15" t="s">
        <v>110</v>
      </c>
      <c r="C19" s="22" t="s">
        <v>11</v>
      </c>
      <c r="D19" s="106">
        <f>+ROUNDUP(D18*$D$9/100,1)</f>
        <v>0</v>
      </c>
      <c r="E19" s="18" t="s">
        <v>113</v>
      </c>
      <c r="F19" s="19"/>
      <c r="G19" s="20"/>
    </row>
    <row r="20" spans="2:7" ht="15.75" customHeight="1">
      <c r="B20" s="35" t="s">
        <v>62</v>
      </c>
      <c r="C20" s="71" t="s">
        <v>11</v>
      </c>
      <c r="D20" s="106">
        <f>+D18-D19</f>
        <v>11.5</v>
      </c>
      <c r="E20" s="73" t="s">
        <v>140</v>
      </c>
      <c r="F20" s="74"/>
      <c r="G20" s="75"/>
    </row>
    <row r="21" spans="2:7" ht="15.75" customHeight="1">
      <c r="B21" s="35" t="s">
        <v>101</v>
      </c>
      <c r="C21" s="22" t="s">
        <v>11</v>
      </c>
      <c r="D21" s="106">
        <f>+D17-D20</f>
        <v>32.1</v>
      </c>
      <c r="E21" s="18" t="s">
        <v>115</v>
      </c>
      <c r="F21" s="19"/>
      <c r="G21" s="20"/>
    </row>
    <row r="22" spans="2:7" ht="15.75" customHeight="1">
      <c r="B22" s="86" t="s">
        <v>94</v>
      </c>
      <c r="C22" s="77" t="s">
        <v>95</v>
      </c>
      <c r="D22" s="87">
        <f>+ROUND(D3/D11,1)</f>
        <v>2.9</v>
      </c>
      <c r="E22" s="40" t="s">
        <v>167</v>
      </c>
      <c r="F22" s="79"/>
      <c r="G22" s="80"/>
    </row>
    <row r="23" spans="2:8" ht="15.75" customHeight="1">
      <c r="B23" s="3"/>
      <c r="C23" s="3"/>
      <c r="D23" s="3"/>
      <c r="E23" s="3"/>
      <c r="F23" s="3"/>
      <c r="G23" s="3"/>
      <c r="H23" s="3"/>
    </row>
    <row r="24" spans="2:8" ht="15.75" customHeight="1">
      <c r="B24" s="32" t="s">
        <v>12</v>
      </c>
      <c r="C24" s="3"/>
      <c r="D24" s="3"/>
      <c r="E24" s="3"/>
      <c r="F24" s="3"/>
      <c r="G24" s="3"/>
      <c r="H24" s="3"/>
    </row>
    <row r="25" spans="2:7" ht="15.75" customHeight="1">
      <c r="B25" s="129" t="s">
        <v>1</v>
      </c>
      <c r="C25" s="131" t="s">
        <v>2</v>
      </c>
      <c r="D25" s="133" t="s">
        <v>13</v>
      </c>
      <c r="E25" s="134"/>
      <c r="F25" s="134"/>
      <c r="G25" s="131" t="s">
        <v>43</v>
      </c>
    </row>
    <row r="26" spans="2:7" ht="33.75" customHeight="1">
      <c r="B26" s="130"/>
      <c r="C26" s="132"/>
      <c r="D26" s="5" t="s">
        <v>30</v>
      </c>
      <c r="E26" s="112" t="s">
        <v>42</v>
      </c>
      <c r="F26" s="113" t="s">
        <v>44</v>
      </c>
      <c r="G26" s="132"/>
    </row>
    <row r="27" spans="2:7" ht="15.75" customHeight="1">
      <c r="B27" s="9" t="s">
        <v>164</v>
      </c>
      <c r="C27" s="114" t="s">
        <v>14</v>
      </c>
      <c r="D27" s="115">
        <f>SUM(D28:D31)</f>
        <v>39861050</v>
      </c>
      <c r="E27" s="115">
        <f>+ROUND(D27/$D$15,0)</f>
        <v>797221</v>
      </c>
      <c r="F27" s="115">
        <f>+ROUND(D27/$D$16,0)</f>
        <v>4983</v>
      </c>
      <c r="G27" s="135" t="s">
        <v>188</v>
      </c>
    </row>
    <row r="28" spans="2:7" ht="15.75" customHeight="1">
      <c r="B28" s="35" t="s">
        <v>51</v>
      </c>
      <c r="C28" s="116" t="s">
        <v>14</v>
      </c>
      <c r="D28" s="117">
        <f>+D16*G29*D15*1.05</f>
        <v>34440000</v>
      </c>
      <c r="E28" s="117">
        <f>+ROUND(D28/$D$15,0)</f>
        <v>688800</v>
      </c>
      <c r="F28" s="117">
        <f aca="true" t="shared" si="0" ref="F28:F43">+ROUND(D28/$D$16,0)</f>
        <v>4305</v>
      </c>
      <c r="G28" s="136"/>
    </row>
    <row r="29" spans="2:7" ht="15.75" customHeight="1">
      <c r="B29" s="35" t="s">
        <v>56</v>
      </c>
      <c r="C29" s="116" t="s">
        <v>57</v>
      </c>
      <c r="D29" s="117">
        <f>+D21*G32*1.05</f>
        <v>2696400</v>
      </c>
      <c r="E29" s="117">
        <f>+ROUND(D29/$D$15,0)</f>
        <v>53928</v>
      </c>
      <c r="F29" s="117">
        <f t="shared" si="0"/>
        <v>337</v>
      </c>
      <c r="G29" s="118">
        <v>82</v>
      </c>
    </row>
    <row r="30" spans="2:7" ht="15.75" customHeight="1">
      <c r="B30" s="35" t="s">
        <v>16</v>
      </c>
      <c r="C30" s="116" t="s">
        <v>14</v>
      </c>
      <c r="D30" s="117">
        <f>+E30*$D$15</f>
        <v>1207550</v>
      </c>
      <c r="E30" s="119">
        <v>24151</v>
      </c>
      <c r="F30" s="117">
        <f t="shared" si="0"/>
        <v>151</v>
      </c>
      <c r="G30" s="136" t="s">
        <v>189</v>
      </c>
    </row>
    <row r="31" spans="2:7" ht="15.75" customHeight="1">
      <c r="B31" s="35" t="s">
        <v>17</v>
      </c>
      <c r="C31" s="116" t="s">
        <v>14</v>
      </c>
      <c r="D31" s="117">
        <f>+E31*$D$15</f>
        <v>1517100</v>
      </c>
      <c r="E31" s="119">
        <v>30342</v>
      </c>
      <c r="F31" s="117">
        <f t="shared" si="0"/>
        <v>190</v>
      </c>
      <c r="G31" s="136"/>
    </row>
    <row r="32" spans="2:7" ht="15.75" customHeight="1">
      <c r="B32" s="35" t="s">
        <v>18</v>
      </c>
      <c r="C32" s="116" t="s">
        <v>14</v>
      </c>
      <c r="D32" s="117">
        <f>+SUM(D40:D42)</f>
        <v>38442650</v>
      </c>
      <c r="E32" s="117">
        <f>+SUM(E40:E42)</f>
        <v>768853</v>
      </c>
      <c r="F32" s="117">
        <f t="shared" si="0"/>
        <v>4805</v>
      </c>
      <c r="G32" s="54">
        <v>80000</v>
      </c>
    </row>
    <row r="33" spans="2:7" ht="15.75" customHeight="1">
      <c r="B33" s="35" t="s">
        <v>58</v>
      </c>
      <c r="C33" s="116" t="s">
        <v>14</v>
      </c>
      <c r="D33" s="117">
        <f>+E33*$D$15</f>
        <v>15326350</v>
      </c>
      <c r="E33" s="119">
        <v>306527</v>
      </c>
      <c r="F33" s="117">
        <f t="shared" si="0"/>
        <v>1916</v>
      </c>
      <c r="G33" s="137" t="s">
        <v>184</v>
      </c>
    </row>
    <row r="34" spans="2:7" ht="15.75" customHeight="1">
      <c r="B34" s="35" t="s">
        <v>59</v>
      </c>
      <c r="C34" s="116" t="s">
        <v>14</v>
      </c>
      <c r="D34" s="117">
        <f>+E34*$D$15</f>
        <v>915650</v>
      </c>
      <c r="E34" s="119">
        <v>18313</v>
      </c>
      <c r="F34" s="117">
        <f t="shared" si="0"/>
        <v>114</v>
      </c>
      <c r="G34" s="137"/>
    </row>
    <row r="35" spans="2:7" ht="15.75" customHeight="1">
      <c r="B35" s="35" t="s">
        <v>20</v>
      </c>
      <c r="C35" s="116" t="s">
        <v>14</v>
      </c>
      <c r="D35" s="117">
        <f>+D19*G35*1.05</f>
        <v>0</v>
      </c>
      <c r="E35" s="117">
        <f>+ROUND(D35/$D$15,0)</f>
        <v>0</v>
      </c>
      <c r="F35" s="117">
        <f t="shared" si="0"/>
        <v>0</v>
      </c>
      <c r="G35" s="54">
        <v>550000</v>
      </c>
    </row>
    <row r="36" spans="2:7" ht="15.75" customHeight="1">
      <c r="B36" s="35" t="s">
        <v>60</v>
      </c>
      <c r="C36" s="116" t="s">
        <v>14</v>
      </c>
      <c r="D36" s="117">
        <f>+E36*$D$15</f>
        <v>305500</v>
      </c>
      <c r="E36" s="119">
        <v>6110</v>
      </c>
      <c r="F36" s="117">
        <f t="shared" si="0"/>
        <v>38</v>
      </c>
      <c r="G36" s="136" t="s">
        <v>183</v>
      </c>
    </row>
    <row r="37" spans="2:7" ht="15.75" customHeight="1">
      <c r="B37" s="35" t="s">
        <v>21</v>
      </c>
      <c r="C37" s="116" t="s">
        <v>14</v>
      </c>
      <c r="D37" s="117">
        <f>+E37*$D$15</f>
        <v>1731000</v>
      </c>
      <c r="E37" s="119">
        <v>34620</v>
      </c>
      <c r="F37" s="117">
        <f t="shared" si="0"/>
        <v>216</v>
      </c>
      <c r="G37" s="136"/>
    </row>
    <row r="38" spans="2:7" ht="15.75" customHeight="1">
      <c r="B38" s="35" t="s">
        <v>93</v>
      </c>
      <c r="C38" s="116" t="s">
        <v>14</v>
      </c>
      <c r="D38" s="117">
        <f>+D22*G38*2000</f>
        <v>8700000</v>
      </c>
      <c r="E38" s="117">
        <f>+ROUND(D38/$D$15,0)</f>
        <v>174000</v>
      </c>
      <c r="F38" s="117">
        <f t="shared" si="0"/>
        <v>1088</v>
      </c>
      <c r="G38" s="54">
        <v>1500</v>
      </c>
    </row>
    <row r="39" spans="2:7" ht="15.75" customHeight="1">
      <c r="B39" s="35" t="s">
        <v>22</v>
      </c>
      <c r="C39" s="116" t="s">
        <v>14</v>
      </c>
      <c r="D39" s="117">
        <f>+E39*$D$15</f>
        <v>5809350</v>
      </c>
      <c r="E39" s="119">
        <v>116187</v>
      </c>
      <c r="F39" s="117">
        <f t="shared" si="0"/>
        <v>726</v>
      </c>
      <c r="G39" s="120"/>
    </row>
    <row r="40" spans="2:7" ht="15.75" customHeight="1">
      <c r="B40" s="35" t="s">
        <v>23</v>
      </c>
      <c r="C40" s="116" t="s">
        <v>14</v>
      </c>
      <c r="D40" s="117">
        <f>SUM(D33:D39)</f>
        <v>32787850</v>
      </c>
      <c r="E40" s="117">
        <f>SUM(E33:E39)</f>
        <v>655757</v>
      </c>
      <c r="F40" s="117">
        <f t="shared" si="0"/>
        <v>4098</v>
      </c>
      <c r="G40" s="120"/>
    </row>
    <row r="41" spans="2:7" ht="15.75" customHeight="1">
      <c r="B41" s="35" t="s">
        <v>24</v>
      </c>
      <c r="C41" s="116" t="s">
        <v>14</v>
      </c>
      <c r="D41" s="117">
        <f>+E41*$D$15</f>
        <v>4664150</v>
      </c>
      <c r="E41" s="119">
        <v>93283</v>
      </c>
      <c r="F41" s="117">
        <f t="shared" si="0"/>
        <v>583</v>
      </c>
      <c r="G41" s="120"/>
    </row>
    <row r="42" spans="2:7" ht="15.75" customHeight="1">
      <c r="B42" s="35" t="s">
        <v>25</v>
      </c>
      <c r="C42" s="116" t="s">
        <v>14</v>
      </c>
      <c r="D42" s="117">
        <f>+E42*$D$15</f>
        <v>990650</v>
      </c>
      <c r="E42" s="119">
        <v>19813</v>
      </c>
      <c r="F42" s="117">
        <f t="shared" si="0"/>
        <v>124</v>
      </c>
      <c r="G42" s="120"/>
    </row>
    <row r="43" spans="2:7" ht="15.75" customHeight="1">
      <c r="B43" s="121" t="s">
        <v>26</v>
      </c>
      <c r="C43" s="122" t="s">
        <v>14</v>
      </c>
      <c r="D43" s="58">
        <f>+D27-D32</f>
        <v>1418400</v>
      </c>
      <c r="E43" s="58">
        <f>+ROUND(D43/$D$15,0)</f>
        <v>28368</v>
      </c>
      <c r="F43" s="58">
        <f t="shared" si="0"/>
        <v>177</v>
      </c>
      <c r="G43" s="123"/>
    </row>
    <row r="44" spans="2:7" ht="15.75" customHeight="1">
      <c r="B44" s="3"/>
      <c r="C44" s="3"/>
      <c r="D44" s="3"/>
      <c r="E44" s="3"/>
      <c r="F44" s="3"/>
      <c r="G44" s="3"/>
    </row>
    <row r="45" spans="2:7" ht="15.75" customHeight="1">
      <c r="B45" s="124" t="s">
        <v>38</v>
      </c>
      <c r="C45" s="33"/>
      <c r="D45" s="3"/>
      <c r="E45" s="3"/>
      <c r="F45" s="3"/>
      <c r="G45" s="3"/>
    </row>
    <row r="46" spans="2:7" ht="15.75" customHeight="1">
      <c r="B46" s="129" t="s">
        <v>1</v>
      </c>
      <c r="C46" s="131" t="s">
        <v>2</v>
      </c>
      <c r="D46" s="133" t="s">
        <v>13</v>
      </c>
      <c r="E46" s="134"/>
      <c r="F46" s="134"/>
      <c r="G46" s="131" t="s">
        <v>43</v>
      </c>
    </row>
    <row r="47" spans="2:7" ht="33.75" customHeight="1">
      <c r="B47" s="130"/>
      <c r="C47" s="132"/>
      <c r="D47" s="5" t="s">
        <v>30</v>
      </c>
      <c r="E47" s="112" t="s">
        <v>42</v>
      </c>
      <c r="F47" s="113" t="s">
        <v>44</v>
      </c>
      <c r="G47" s="132"/>
    </row>
    <row r="48" spans="2:7" ht="12.75">
      <c r="B48" s="9" t="s">
        <v>165</v>
      </c>
      <c r="C48" s="114" t="s">
        <v>14</v>
      </c>
      <c r="D48" s="62">
        <f>+D43</f>
        <v>1418400</v>
      </c>
      <c r="E48" s="93">
        <f>+ROUND(D48/$D$15,0)</f>
        <v>28368</v>
      </c>
      <c r="F48" s="49">
        <f>+ROUND(D48/$D$16,0)</f>
        <v>177</v>
      </c>
      <c r="G48" s="125"/>
    </row>
    <row r="49" spans="2:7" ht="15.75" customHeight="1">
      <c r="B49" s="35" t="s">
        <v>28</v>
      </c>
      <c r="C49" s="116" t="s">
        <v>14</v>
      </c>
      <c r="D49" s="64">
        <f>+E49*$D$15</f>
        <v>2009200</v>
      </c>
      <c r="E49" s="65">
        <v>40184</v>
      </c>
      <c r="F49" s="52">
        <f>+ROUND(D49/$D$16,0)</f>
        <v>251</v>
      </c>
      <c r="G49" s="126"/>
    </row>
    <row r="50" spans="2:7" ht="15.75" customHeight="1">
      <c r="B50" s="35" t="s">
        <v>29</v>
      </c>
      <c r="C50" s="116" t="s">
        <v>14</v>
      </c>
      <c r="D50" s="66">
        <f>+D48-D49</f>
        <v>-590800</v>
      </c>
      <c r="E50" s="94">
        <f>+ROUND(D50/$D$15,0)</f>
        <v>-11816</v>
      </c>
      <c r="F50" s="52">
        <f>+ROUND(D50/$D$16,0)</f>
        <v>-74</v>
      </c>
      <c r="G50" s="126"/>
    </row>
    <row r="51" spans="2:7" ht="15.75" customHeight="1">
      <c r="B51" s="121" t="s">
        <v>37</v>
      </c>
      <c r="C51" s="122" t="s">
        <v>14</v>
      </c>
      <c r="D51" s="67">
        <f>+E51*$D$15</f>
        <v>10278050</v>
      </c>
      <c r="E51" s="68">
        <v>205561</v>
      </c>
      <c r="F51" s="58">
        <f>+ROUND(D51/$D$16,0)</f>
        <v>1285</v>
      </c>
      <c r="G51" s="127"/>
    </row>
    <row r="52" spans="2:8" ht="15.75" customHeight="1">
      <c r="B52" s="3"/>
      <c r="C52" s="3"/>
      <c r="D52" s="3"/>
      <c r="E52" s="29"/>
      <c r="F52" s="29"/>
      <c r="G52" s="29"/>
      <c r="H52" s="29"/>
    </row>
  </sheetData>
  <mergeCells count="12">
    <mergeCell ref="D25:F25"/>
    <mergeCell ref="G25:G26"/>
    <mergeCell ref="G27:G28"/>
    <mergeCell ref="D46:F46"/>
    <mergeCell ref="G46:G47"/>
    <mergeCell ref="G30:G31"/>
    <mergeCell ref="G36:G37"/>
    <mergeCell ref="G33:G34"/>
    <mergeCell ref="B25:B26"/>
    <mergeCell ref="C25:C26"/>
    <mergeCell ref="B46:B47"/>
    <mergeCell ref="C46:C47"/>
  </mergeCells>
  <printOptions horizontalCentered="1"/>
  <pageMargins left="0.3937007874015748" right="0.1968503937007874" top="0.984251968503937" bottom="0.3937007874015748" header="0.7874015748031497" footer="0.1968503937007874"/>
  <pageSetup horizontalDpi="300" verticalDpi="300" orientation="portrait" paperSize="9" scale="95" r:id="rId1"/>
  <headerFooter alignWithMargins="0">
    <oddHeader>&amp;C&amp;"ＭＳ 明朝,太字"&amp;14モデル経営試算  &amp;A</oddHeader>
    <oddFooter>&amp;C&amp;"ＭＳ 明朝,標準"38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52"/>
  <sheetViews>
    <sheetView showGridLines="0" tabSelected="1" workbookViewId="0" topLeftCell="A1">
      <selection activeCell="E7" sqref="E7"/>
    </sheetView>
  </sheetViews>
  <sheetFormatPr defaultColWidth="9.00390625" defaultRowHeight="15.75" customHeight="1"/>
  <cols>
    <col min="1" max="1" width="0.875" style="1" customWidth="1"/>
    <col min="2" max="2" width="30.625" style="1" customWidth="1"/>
    <col min="3" max="3" width="6.625" style="1" customWidth="1"/>
    <col min="4" max="6" width="15.625" style="1" customWidth="1"/>
    <col min="7" max="7" width="18.625" style="1" customWidth="1"/>
    <col min="8" max="8" width="20.875" style="1" customWidth="1"/>
    <col min="9" max="9" width="9.125" style="1" bestFit="1" customWidth="1"/>
    <col min="10" max="16384" width="9.00390625" style="1" customWidth="1"/>
  </cols>
  <sheetData>
    <row r="1" spans="2:8" ht="15.75" customHeight="1">
      <c r="B1" s="2" t="s">
        <v>0</v>
      </c>
      <c r="C1" s="3"/>
      <c r="D1" s="3"/>
      <c r="E1" s="3"/>
      <c r="F1" s="3"/>
      <c r="G1" s="3"/>
      <c r="H1" s="3"/>
    </row>
    <row r="2" spans="2:7" ht="15.75" customHeight="1">
      <c r="B2" s="4" t="s">
        <v>1</v>
      </c>
      <c r="C2" s="5" t="s">
        <v>2</v>
      </c>
      <c r="D2" s="5" t="s">
        <v>3</v>
      </c>
      <c r="E2" s="6" t="s">
        <v>4</v>
      </c>
      <c r="F2" s="7"/>
      <c r="G2" s="8"/>
    </row>
    <row r="3" spans="2:7" ht="15.75" customHeight="1">
      <c r="B3" s="9" t="s">
        <v>41</v>
      </c>
      <c r="C3" s="10" t="s">
        <v>6</v>
      </c>
      <c r="D3" s="11">
        <v>120</v>
      </c>
      <c r="E3" s="12" t="s">
        <v>116</v>
      </c>
      <c r="F3" s="13"/>
      <c r="G3" s="14"/>
    </row>
    <row r="4" spans="2:7" ht="15.75" customHeight="1">
      <c r="B4" s="70" t="s">
        <v>114</v>
      </c>
      <c r="C4" s="16" t="s">
        <v>88</v>
      </c>
      <c r="D4" s="21">
        <v>25</v>
      </c>
      <c r="E4" s="73"/>
      <c r="F4" s="74"/>
      <c r="G4" s="75"/>
    </row>
    <row r="5" spans="2:7" ht="15.75" customHeight="1">
      <c r="B5" s="15" t="s">
        <v>64</v>
      </c>
      <c r="C5" s="16" t="s">
        <v>88</v>
      </c>
      <c r="D5" s="21">
        <v>13.6</v>
      </c>
      <c r="E5" s="18"/>
      <c r="F5" s="19"/>
      <c r="G5" s="20"/>
    </row>
    <row r="6" spans="2:7" ht="15.75" customHeight="1">
      <c r="B6" s="15" t="s">
        <v>141</v>
      </c>
      <c r="C6" s="16" t="s">
        <v>102</v>
      </c>
      <c r="D6" s="21">
        <v>4</v>
      </c>
      <c r="E6" s="18"/>
      <c r="F6" s="19"/>
      <c r="G6" s="20"/>
    </row>
    <row r="7" spans="2:7" ht="15.75" customHeight="1">
      <c r="B7" s="15" t="s">
        <v>89</v>
      </c>
      <c r="C7" s="22" t="s">
        <v>162</v>
      </c>
      <c r="D7" s="17">
        <v>5</v>
      </c>
      <c r="E7" s="18"/>
      <c r="F7" s="19"/>
      <c r="G7" s="20"/>
    </row>
    <row r="8" spans="2:7" ht="15.75" customHeight="1">
      <c r="B8" s="15" t="s">
        <v>90</v>
      </c>
      <c r="C8" s="16" t="s">
        <v>162</v>
      </c>
      <c r="D8" s="17">
        <v>23</v>
      </c>
      <c r="E8" s="18"/>
      <c r="F8" s="19"/>
      <c r="G8" s="20"/>
    </row>
    <row r="9" spans="2:7" ht="15.75" customHeight="1">
      <c r="B9" s="15" t="s">
        <v>106</v>
      </c>
      <c r="C9" s="16" t="s">
        <v>161</v>
      </c>
      <c r="D9" s="17">
        <v>30</v>
      </c>
      <c r="E9" s="18"/>
      <c r="F9" s="19"/>
      <c r="G9" s="20"/>
    </row>
    <row r="10" spans="2:7" ht="15.75" customHeight="1">
      <c r="B10" s="15" t="s">
        <v>91</v>
      </c>
      <c r="C10" s="22" t="s">
        <v>163</v>
      </c>
      <c r="D10" s="17">
        <v>9000</v>
      </c>
      <c r="E10" s="18"/>
      <c r="F10" s="19"/>
      <c r="G10" s="20"/>
    </row>
    <row r="11" spans="2:7" ht="15.75" customHeight="1">
      <c r="B11" s="23" t="s">
        <v>96</v>
      </c>
      <c r="C11" s="24" t="s">
        <v>104</v>
      </c>
      <c r="D11" s="25">
        <v>35</v>
      </c>
      <c r="E11" s="26"/>
      <c r="F11" s="27"/>
      <c r="G11" s="28"/>
    </row>
    <row r="12" spans="2:7" ht="15.75" customHeight="1">
      <c r="B12" s="29"/>
      <c r="C12" s="30"/>
      <c r="D12" s="31"/>
      <c r="E12" s="3"/>
      <c r="F12" s="3"/>
      <c r="G12" s="3"/>
    </row>
    <row r="13" spans="2:7" ht="15.75" customHeight="1">
      <c r="B13" s="32" t="s">
        <v>10</v>
      </c>
      <c r="C13" s="33"/>
      <c r="D13" s="3"/>
      <c r="E13" s="3"/>
      <c r="F13" s="3"/>
      <c r="G13" s="3"/>
    </row>
    <row r="14" spans="2:7" ht="15.75" customHeight="1">
      <c r="B14" s="4" t="s">
        <v>1</v>
      </c>
      <c r="C14" s="4" t="s">
        <v>2</v>
      </c>
      <c r="D14" s="5" t="s">
        <v>3</v>
      </c>
      <c r="E14" s="6" t="s">
        <v>111</v>
      </c>
      <c r="F14" s="7"/>
      <c r="G14" s="8"/>
    </row>
    <row r="15" spans="2:7" ht="15.75" customHeight="1">
      <c r="B15" s="9" t="s">
        <v>50</v>
      </c>
      <c r="C15" s="10" t="s">
        <v>6</v>
      </c>
      <c r="D15" s="34">
        <f>+D3</f>
        <v>120</v>
      </c>
      <c r="E15" s="12" t="s">
        <v>112</v>
      </c>
      <c r="F15" s="13"/>
      <c r="G15" s="14"/>
    </row>
    <row r="16" spans="2:7" ht="15.75" customHeight="1">
      <c r="B16" s="15" t="s">
        <v>91</v>
      </c>
      <c r="C16" s="71" t="s">
        <v>163</v>
      </c>
      <c r="D16" s="36">
        <f>+D10</f>
        <v>9000</v>
      </c>
      <c r="E16" s="73"/>
      <c r="F16" s="74"/>
      <c r="G16" s="75"/>
    </row>
    <row r="17" spans="2:7" ht="15.75" customHeight="1">
      <c r="B17" s="35" t="s">
        <v>100</v>
      </c>
      <c r="C17" s="71" t="s">
        <v>11</v>
      </c>
      <c r="D17" s="106">
        <f>+ROUNDDOWN(D3*12/D5*(100-D6)/100,1)</f>
        <v>101.6</v>
      </c>
      <c r="E17" s="73" t="s">
        <v>166</v>
      </c>
      <c r="F17" s="74"/>
      <c r="G17" s="75"/>
    </row>
    <row r="18" spans="2:7" ht="15.75" customHeight="1">
      <c r="B18" s="15" t="s">
        <v>99</v>
      </c>
      <c r="C18" s="22" t="s">
        <v>11</v>
      </c>
      <c r="D18" s="106">
        <f>+ROUNDUP(D3*D8/100,1)</f>
        <v>27.6</v>
      </c>
      <c r="E18" s="18" t="s">
        <v>142</v>
      </c>
      <c r="F18" s="19"/>
      <c r="G18" s="20"/>
    </row>
    <row r="19" spans="2:7" ht="15.75" customHeight="1">
      <c r="B19" s="15" t="s">
        <v>110</v>
      </c>
      <c r="C19" s="22" t="s">
        <v>11</v>
      </c>
      <c r="D19" s="106">
        <f>+ROUNDUP(D18*$D$9/100,1)</f>
        <v>8.299999999999999</v>
      </c>
      <c r="E19" s="18" t="s">
        <v>113</v>
      </c>
      <c r="F19" s="19"/>
      <c r="G19" s="20"/>
    </row>
    <row r="20" spans="2:7" ht="15.75" customHeight="1">
      <c r="B20" s="35" t="s">
        <v>62</v>
      </c>
      <c r="C20" s="71" t="s">
        <v>11</v>
      </c>
      <c r="D20" s="106">
        <f>+D18-D19</f>
        <v>19.300000000000004</v>
      </c>
      <c r="E20" s="73" t="s">
        <v>140</v>
      </c>
      <c r="F20" s="74"/>
      <c r="G20" s="75"/>
    </row>
    <row r="21" spans="2:7" ht="15.75" customHeight="1">
      <c r="B21" s="35" t="s">
        <v>101</v>
      </c>
      <c r="C21" s="22" t="s">
        <v>11</v>
      </c>
      <c r="D21" s="106">
        <f>+D17-D20</f>
        <v>82.29999999999998</v>
      </c>
      <c r="E21" s="18" t="s">
        <v>115</v>
      </c>
      <c r="F21" s="19"/>
      <c r="G21" s="20"/>
    </row>
    <row r="22" spans="2:7" ht="15.75" customHeight="1">
      <c r="B22" s="86" t="s">
        <v>94</v>
      </c>
      <c r="C22" s="77" t="s">
        <v>95</v>
      </c>
      <c r="D22" s="87">
        <f>+ROUND(D3/D11,1)</f>
        <v>3.4</v>
      </c>
      <c r="E22" s="40" t="s">
        <v>167</v>
      </c>
      <c r="F22" s="79"/>
      <c r="G22" s="80"/>
    </row>
    <row r="23" spans="2:8" ht="15.75" customHeight="1">
      <c r="B23" s="3"/>
      <c r="C23" s="3"/>
      <c r="D23" s="3"/>
      <c r="E23" s="3"/>
      <c r="F23" s="3"/>
      <c r="G23" s="3"/>
      <c r="H23" s="3"/>
    </row>
    <row r="24" spans="2:8" ht="15.75" customHeight="1">
      <c r="B24" s="32" t="s">
        <v>12</v>
      </c>
      <c r="C24" s="3"/>
      <c r="D24" s="3"/>
      <c r="E24" s="3"/>
      <c r="F24" s="3"/>
      <c r="G24" s="3"/>
      <c r="H24" s="3"/>
    </row>
    <row r="25" spans="2:7" ht="15.75" customHeight="1">
      <c r="B25" s="129" t="s">
        <v>1</v>
      </c>
      <c r="C25" s="131" t="s">
        <v>2</v>
      </c>
      <c r="D25" s="133" t="s">
        <v>13</v>
      </c>
      <c r="E25" s="134"/>
      <c r="F25" s="134"/>
      <c r="G25" s="131" t="s">
        <v>43</v>
      </c>
    </row>
    <row r="26" spans="2:7" ht="25.5">
      <c r="B26" s="130"/>
      <c r="C26" s="132"/>
      <c r="D26" s="5" t="s">
        <v>30</v>
      </c>
      <c r="E26" s="112" t="s">
        <v>42</v>
      </c>
      <c r="F26" s="113" t="s">
        <v>44</v>
      </c>
      <c r="G26" s="132"/>
    </row>
    <row r="27" spans="2:7" ht="15.75" customHeight="1">
      <c r="B27" s="9" t="s">
        <v>164</v>
      </c>
      <c r="C27" s="114" t="s">
        <v>14</v>
      </c>
      <c r="D27" s="115">
        <f>SUM(D28:D31)</f>
        <v>108594840</v>
      </c>
      <c r="E27" s="115">
        <f>+ROUND(D27/$D$15,0)</f>
        <v>904957</v>
      </c>
      <c r="F27" s="115">
        <f>+ROUND(D27/$D$16,0)</f>
        <v>12066</v>
      </c>
      <c r="G27" s="135" t="s">
        <v>188</v>
      </c>
    </row>
    <row r="28" spans="2:7" ht="15.75" customHeight="1">
      <c r="B28" s="35" t="s">
        <v>51</v>
      </c>
      <c r="C28" s="116" t="s">
        <v>14</v>
      </c>
      <c r="D28" s="117">
        <f>+D16*G29*D15*1.05</f>
        <v>92988000</v>
      </c>
      <c r="E28" s="117">
        <f>+ROUND(D28/$D$15,0)</f>
        <v>774900</v>
      </c>
      <c r="F28" s="117">
        <f aca="true" t="shared" si="0" ref="F28:F43">+ROUND(D28/$D$16,0)</f>
        <v>10332</v>
      </c>
      <c r="G28" s="136"/>
    </row>
    <row r="29" spans="2:7" ht="15.75" customHeight="1">
      <c r="B29" s="35" t="s">
        <v>56</v>
      </c>
      <c r="C29" s="116" t="s">
        <v>57</v>
      </c>
      <c r="D29" s="117">
        <f>+D21*G32*1.05</f>
        <v>6913199.999999999</v>
      </c>
      <c r="E29" s="117">
        <f>+ROUND(D29/$D$15,0)</f>
        <v>57610</v>
      </c>
      <c r="F29" s="117">
        <f t="shared" si="0"/>
        <v>768</v>
      </c>
      <c r="G29" s="118">
        <v>82</v>
      </c>
    </row>
    <row r="30" spans="2:7" ht="15.75" customHeight="1">
      <c r="B30" s="35" t="s">
        <v>16</v>
      </c>
      <c r="C30" s="116" t="s">
        <v>14</v>
      </c>
      <c r="D30" s="117">
        <f>+E30*$D$15</f>
        <v>3336120</v>
      </c>
      <c r="E30" s="119">
        <v>27801</v>
      </c>
      <c r="F30" s="117">
        <f t="shared" si="0"/>
        <v>371</v>
      </c>
      <c r="G30" s="136" t="s">
        <v>189</v>
      </c>
    </row>
    <row r="31" spans="2:7" ht="15.75" customHeight="1">
      <c r="B31" s="35" t="s">
        <v>17</v>
      </c>
      <c r="C31" s="116" t="s">
        <v>14</v>
      </c>
      <c r="D31" s="117">
        <f>+E31*$D$15</f>
        <v>5357520</v>
      </c>
      <c r="E31" s="119">
        <v>44646</v>
      </c>
      <c r="F31" s="117">
        <f t="shared" si="0"/>
        <v>595</v>
      </c>
      <c r="G31" s="136"/>
    </row>
    <row r="32" spans="2:7" ht="15.75" customHeight="1">
      <c r="B32" s="35" t="s">
        <v>18</v>
      </c>
      <c r="C32" s="116" t="s">
        <v>14</v>
      </c>
      <c r="D32" s="117">
        <f>+SUM(D40:D42)</f>
        <v>91662450</v>
      </c>
      <c r="E32" s="117">
        <f>+SUM(E40:E42)</f>
        <v>763854</v>
      </c>
      <c r="F32" s="117">
        <f t="shared" si="0"/>
        <v>10185</v>
      </c>
      <c r="G32" s="54">
        <v>80000</v>
      </c>
    </row>
    <row r="33" spans="2:7" ht="15.75" customHeight="1">
      <c r="B33" s="35" t="s">
        <v>58</v>
      </c>
      <c r="C33" s="116" t="s">
        <v>14</v>
      </c>
      <c r="D33" s="117">
        <f>+E33*$D$15</f>
        <v>41715840</v>
      </c>
      <c r="E33" s="119">
        <v>347632</v>
      </c>
      <c r="F33" s="117">
        <f t="shared" si="0"/>
        <v>4635</v>
      </c>
      <c r="G33" s="137" t="s">
        <v>184</v>
      </c>
    </row>
    <row r="34" spans="2:7" ht="15.75" customHeight="1">
      <c r="B34" s="35" t="s">
        <v>59</v>
      </c>
      <c r="C34" s="116" t="s">
        <v>14</v>
      </c>
      <c r="D34" s="117">
        <f>+E34*$D$15</f>
        <v>339000</v>
      </c>
      <c r="E34" s="119">
        <v>2825</v>
      </c>
      <c r="F34" s="117">
        <f t="shared" si="0"/>
        <v>38</v>
      </c>
      <c r="G34" s="137"/>
    </row>
    <row r="35" spans="2:7" ht="15.75" customHeight="1">
      <c r="B35" s="35" t="s">
        <v>20</v>
      </c>
      <c r="C35" s="116" t="s">
        <v>14</v>
      </c>
      <c r="D35" s="117">
        <f>+D19*G35*1.05</f>
        <v>4793249.999999999</v>
      </c>
      <c r="E35" s="117">
        <f>+ROUND(D35/$D$15,0)</f>
        <v>39944</v>
      </c>
      <c r="F35" s="117">
        <f t="shared" si="0"/>
        <v>533</v>
      </c>
      <c r="G35" s="54">
        <v>550000</v>
      </c>
    </row>
    <row r="36" spans="2:7" ht="15.75" customHeight="1">
      <c r="B36" s="35" t="s">
        <v>60</v>
      </c>
      <c r="C36" s="116" t="s">
        <v>14</v>
      </c>
      <c r="D36" s="117">
        <f>+E36*$D$15</f>
        <v>764520</v>
      </c>
      <c r="E36" s="119">
        <v>6371</v>
      </c>
      <c r="F36" s="117">
        <f t="shared" si="0"/>
        <v>85</v>
      </c>
      <c r="G36" s="136" t="s">
        <v>183</v>
      </c>
    </row>
    <row r="37" spans="2:7" ht="15.75" customHeight="1">
      <c r="B37" s="35" t="s">
        <v>21</v>
      </c>
      <c r="C37" s="116" t="s">
        <v>14</v>
      </c>
      <c r="D37" s="117">
        <f>+E37*$D$15</f>
        <v>3750480</v>
      </c>
      <c r="E37" s="119">
        <v>31254</v>
      </c>
      <c r="F37" s="117">
        <f t="shared" si="0"/>
        <v>417</v>
      </c>
      <c r="G37" s="136"/>
    </row>
    <row r="38" spans="2:7" ht="15.75" customHeight="1">
      <c r="B38" s="35" t="s">
        <v>93</v>
      </c>
      <c r="C38" s="116" t="s">
        <v>14</v>
      </c>
      <c r="D38" s="117">
        <f>+D22*G38*2000</f>
        <v>10200000</v>
      </c>
      <c r="E38" s="117">
        <f>+ROUND(D38/$D$15,0)</f>
        <v>85000</v>
      </c>
      <c r="F38" s="117">
        <f t="shared" si="0"/>
        <v>1133</v>
      </c>
      <c r="G38" s="54">
        <v>1500</v>
      </c>
    </row>
    <row r="39" spans="2:7" ht="15.75" customHeight="1">
      <c r="B39" s="35" t="s">
        <v>22</v>
      </c>
      <c r="C39" s="116" t="s">
        <v>14</v>
      </c>
      <c r="D39" s="117">
        <f>+E39*$D$15</f>
        <v>16461600</v>
      </c>
      <c r="E39" s="119">
        <v>137180</v>
      </c>
      <c r="F39" s="117">
        <f t="shared" si="0"/>
        <v>1829</v>
      </c>
      <c r="G39" s="120"/>
    </row>
    <row r="40" spans="2:7" ht="15.75" customHeight="1">
      <c r="B40" s="35" t="s">
        <v>23</v>
      </c>
      <c r="C40" s="116" t="s">
        <v>14</v>
      </c>
      <c r="D40" s="117">
        <f>SUM(D33:D39)</f>
        <v>78024690</v>
      </c>
      <c r="E40" s="117">
        <f>SUM(E33:E39)</f>
        <v>650206</v>
      </c>
      <c r="F40" s="117">
        <f t="shared" si="0"/>
        <v>8669</v>
      </c>
      <c r="G40" s="120"/>
    </row>
    <row r="41" spans="2:7" ht="15.75" customHeight="1">
      <c r="B41" s="35" t="s">
        <v>24</v>
      </c>
      <c r="C41" s="116" t="s">
        <v>14</v>
      </c>
      <c r="D41" s="117">
        <f>+E41*$D$15</f>
        <v>11523480</v>
      </c>
      <c r="E41" s="119">
        <v>96029</v>
      </c>
      <c r="F41" s="117">
        <f t="shared" si="0"/>
        <v>1280</v>
      </c>
      <c r="G41" s="120"/>
    </row>
    <row r="42" spans="2:7" ht="15.75" customHeight="1">
      <c r="B42" s="35" t="s">
        <v>25</v>
      </c>
      <c r="C42" s="116" t="s">
        <v>14</v>
      </c>
      <c r="D42" s="117">
        <f>+E42*$D$15</f>
        <v>2114280</v>
      </c>
      <c r="E42" s="119">
        <v>17619</v>
      </c>
      <c r="F42" s="117">
        <f t="shared" si="0"/>
        <v>235</v>
      </c>
      <c r="G42" s="120"/>
    </row>
    <row r="43" spans="2:7" ht="15.75" customHeight="1">
      <c r="B43" s="121" t="s">
        <v>26</v>
      </c>
      <c r="C43" s="122" t="s">
        <v>14</v>
      </c>
      <c r="D43" s="58">
        <f>+D27-D32</f>
        <v>16932390</v>
      </c>
      <c r="E43" s="58">
        <f>+ROUND(D43/$D$15,0)</f>
        <v>141103</v>
      </c>
      <c r="F43" s="58">
        <f t="shared" si="0"/>
        <v>1881</v>
      </c>
      <c r="G43" s="123"/>
    </row>
    <row r="44" spans="2:7" ht="15.75" customHeight="1">
      <c r="B44" s="3"/>
      <c r="C44" s="3"/>
      <c r="D44" s="3"/>
      <c r="E44" s="3"/>
      <c r="F44" s="3"/>
      <c r="G44" s="3"/>
    </row>
    <row r="45" spans="2:7" ht="15.75" customHeight="1">
      <c r="B45" s="124" t="s">
        <v>38</v>
      </c>
      <c r="C45" s="33"/>
      <c r="D45" s="3"/>
      <c r="E45" s="3"/>
      <c r="F45" s="3"/>
      <c r="G45" s="3"/>
    </row>
    <row r="46" spans="2:7" ht="15.75" customHeight="1">
      <c r="B46" s="129" t="s">
        <v>1</v>
      </c>
      <c r="C46" s="131" t="s">
        <v>2</v>
      </c>
      <c r="D46" s="133" t="s">
        <v>13</v>
      </c>
      <c r="E46" s="134"/>
      <c r="F46" s="134"/>
      <c r="G46" s="131" t="s">
        <v>43</v>
      </c>
    </row>
    <row r="47" spans="2:7" ht="25.5">
      <c r="B47" s="130"/>
      <c r="C47" s="132"/>
      <c r="D47" s="5" t="s">
        <v>30</v>
      </c>
      <c r="E47" s="112" t="s">
        <v>42</v>
      </c>
      <c r="F47" s="113" t="s">
        <v>44</v>
      </c>
      <c r="G47" s="132"/>
    </row>
    <row r="48" spans="2:7" ht="12.75">
      <c r="B48" s="9" t="s">
        <v>27</v>
      </c>
      <c r="C48" s="114" t="s">
        <v>14</v>
      </c>
      <c r="D48" s="62">
        <f>+D43</f>
        <v>16932390</v>
      </c>
      <c r="E48" s="93">
        <f>+ROUND(D48/$D$15,0)</f>
        <v>141103</v>
      </c>
      <c r="F48" s="49">
        <f>+ROUND(D48/$D$17,0)</f>
        <v>166657</v>
      </c>
      <c r="G48" s="125"/>
    </row>
    <row r="49" spans="2:7" ht="15.75" customHeight="1">
      <c r="B49" s="35" t="s">
        <v>28</v>
      </c>
      <c r="C49" s="116" t="s">
        <v>14</v>
      </c>
      <c r="D49" s="64">
        <f>+E49*$D$15</f>
        <v>4326480</v>
      </c>
      <c r="E49" s="65">
        <v>36054</v>
      </c>
      <c r="F49" s="52">
        <f>+ROUND(D49/$D$17,0)</f>
        <v>42583</v>
      </c>
      <c r="G49" s="126"/>
    </row>
    <row r="50" spans="2:7" ht="15.75" customHeight="1">
      <c r="B50" s="35" t="s">
        <v>29</v>
      </c>
      <c r="C50" s="116" t="s">
        <v>14</v>
      </c>
      <c r="D50" s="66">
        <f>+D48-D49</f>
        <v>12605910</v>
      </c>
      <c r="E50" s="94">
        <f>+ROUND(D50/$D$15,0)</f>
        <v>105049</v>
      </c>
      <c r="F50" s="52">
        <f>+ROUND(D50/$D$17,0)</f>
        <v>124074</v>
      </c>
      <c r="G50" s="126"/>
    </row>
    <row r="51" spans="2:7" ht="15.75" customHeight="1">
      <c r="B51" s="121" t="s">
        <v>37</v>
      </c>
      <c r="C51" s="122" t="s">
        <v>14</v>
      </c>
      <c r="D51" s="67">
        <f>+E51*$D$15</f>
        <v>27219840</v>
      </c>
      <c r="E51" s="68">
        <v>226832</v>
      </c>
      <c r="F51" s="58">
        <f>+ROUND(D51/$D$17,0)</f>
        <v>267912</v>
      </c>
      <c r="G51" s="127"/>
    </row>
    <row r="52" spans="2:8" ht="15.75" customHeight="1">
      <c r="B52" s="3"/>
      <c r="C52" s="3"/>
      <c r="D52" s="3"/>
      <c r="E52" s="29"/>
      <c r="F52" s="29"/>
      <c r="G52" s="29"/>
      <c r="H52" s="29"/>
    </row>
  </sheetData>
  <mergeCells count="12">
    <mergeCell ref="B25:B26"/>
    <mergeCell ref="C25:C26"/>
    <mergeCell ref="D25:F25"/>
    <mergeCell ref="G25:G26"/>
    <mergeCell ref="G27:G28"/>
    <mergeCell ref="B46:B47"/>
    <mergeCell ref="C46:C47"/>
    <mergeCell ref="D46:F46"/>
    <mergeCell ref="G46:G47"/>
    <mergeCell ref="G30:G31"/>
    <mergeCell ref="G36:G37"/>
    <mergeCell ref="G33:G34"/>
  </mergeCells>
  <printOptions horizontalCentered="1"/>
  <pageMargins left="0.3937007874015748" right="0.1968503937007874" top="0.984251968503937" bottom="0.3937007874015748" header="0.7874015748031497" footer="0.1968503937007874"/>
  <pageSetup horizontalDpi="600" verticalDpi="600" orientation="portrait" paperSize="9" scale="95" r:id="rId1"/>
  <headerFooter alignWithMargins="0">
    <oddHeader>&amp;C&amp;"ＭＳ 明朝,太字"&amp;14モデル経営試算  &amp;A</oddHeader>
    <oddFooter>&amp;C&amp;"ＭＳ 明朝,標準"39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50"/>
  <sheetViews>
    <sheetView showGridLines="0" tabSelected="1" workbookViewId="0" topLeftCell="A1">
      <selection activeCell="E7" sqref="E7"/>
    </sheetView>
  </sheetViews>
  <sheetFormatPr defaultColWidth="9.00390625" defaultRowHeight="15.75" customHeight="1"/>
  <cols>
    <col min="1" max="1" width="0.875" style="1" customWidth="1"/>
    <col min="2" max="2" width="30.625" style="1" customWidth="1"/>
    <col min="3" max="3" width="6.625" style="1" customWidth="1"/>
    <col min="4" max="6" width="15.625" style="1" customWidth="1"/>
    <col min="7" max="7" width="18.625" style="1" customWidth="1"/>
    <col min="8" max="8" width="20.875" style="1" customWidth="1"/>
    <col min="9" max="16384" width="9.00390625" style="1" customWidth="1"/>
  </cols>
  <sheetData>
    <row r="1" spans="2:8" ht="15.75" customHeight="1">
      <c r="B1" s="2" t="s">
        <v>0</v>
      </c>
      <c r="C1" s="3"/>
      <c r="D1" s="3"/>
      <c r="E1" s="3"/>
      <c r="F1" s="3"/>
      <c r="G1" s="3"/>
      <c r="H1" s="3"/>
    </row>
    <row r="2" spans="2:7" ht="15.75" customHeight="1">
      <c r="B2" s="4" t="s">
        <v>1</v>
      </c>
      <c r="C2" s="5" t="s">
        <v>2</v>
      </c>
      <c r="D2" s="5" t="s">
        <v>3</v>
      </c>
      <c r="E2" s="6" t="s">
        <v>4</v>
      </c>
      <c r="F2" s="7"/>
      <c r="G2" s="8"/>
    </row>
    <row r="3" spans="2:7" ht="15.75" customHeight="1">
      <c r="B3" s="9" t="s">
        <v>109</v>
      </c>
      <c r="C3" s="10" t="s">
        <v>6</v>
      </c>
      <c r="D3" s="11">
        <v>50</v>
      </c>
      <c r="E3" s="12" t="s">
        <v>69</v>
      </c>
      <c r="F3" s="13"/>
      <c r="G3" s="14"/>
    </row>
    <row r="4" spans="2:7" ht="15.75" customHeight="1">
      <c r="B4" s="15" t="s">
        <v>64</v>
      </c>
      <c r="C4" s="16" t="s">
        <v>7</v>
      </c>
      <c r="D4" s="21">
        <v>12.5</v>
      </c>
      <c r="E4" s="18"/>
      <c r="F4" s="19"/>
      <c r="G4" s="20"/>
    </row>
    <row r="5" spans="2:7" ht="15.75" customHeight="1">
      <c r="B5" s="15" t="s">
        <v>65</v>
      </c>
      <c r="C5" s="22" t="s">
        <v>102</v>
      </c>
      <c r="D5" s="17">
        <v>2</v>
      </c>
      <c r="E5" s="18"/>
      <c r="F5" s="19"/>
      <c r="G5" s="20"/>
    </row>
    <row r="6" spans="2:7" ht="15.75" customHeight="1">
      <c r="B6" s="99" t="s">
        <v>66</v>
      </c>
      <c r="C6" s="100" t="s">
        <v>161</v>
      </c>
      <c r="D6" s="101">
        <v>2</v>
      </c>
      <c r="E6" s="85"/>
      <c r="F6" s="102"/>
      <c r="G6" s="103"/>
    </row>
    <row r="7" spans="2:7" ht="15.75" customHeight="1">
      <c r="B7" s="15" t="s">
        <v>108</v>
      </c>
      <c r="C7" s="16" t="s">
        <v>103</v>
      </c>
      <c r="D7" s="17">
        <v>10</v>
      </c>
      <c r="E7" s="18"/>
      <c r="F7" s="19"/>
      <c r="G7" s="20"/>
    </row>
    <row r="8" spans="2:7" ht="15.75" customHeight="1">
      <c r="B8" s="15" t="s">
        <v>106</v>
      </c>
      <c r="C8" s="16" t="s">
        <v>161</v>
      </c>
      <c r="D8" s="17">
        <v>20</v>
      </c>
      <c r="E8" s="18"/>
      <c r="F8" s="19"/>
      <c r="G8" s="20"/>
    </row>
    <row r="9" spans="2:7" ht="15.75" customHeight="1">
      <c r="B9" s="76" t="s">
        <v>97</v>
      </c>
      <c r="C9" s="77" t="s">
        <v>104</v>
      </c>
      <c r="D9" s="78">
        <v>25</v>
      </c>
      <c r="E9" s="40"/>
      <c r="F9" s="79"/>
      <c r="G9" s="80"/>
    </row>
    <row r="10" spans="2:7" ht="15.75" customHeight="1">
      <c r="B10" s="29"/>
      <c r="C10" s="30"/>
      <c r="D10" s="31"/>
      <c r="E10" s="3"/>
      <c r="F10" s="3"/>
      <c r="G10" s="3"/>
    </row>
    <row r="11" spans="2:7" ht="15.75" customHeight="1">
      <c r="B11" s="32" t="s">
        <v>10</v>
      </c>
      <c r="C11" s="33"/>
      <c r="D11" s="3"/>
      <c r="E11" s="3"/>
      <c r="F11" s="3"/>
      <c r="G11" s="3"/>
    </row>
    <row r="12" spans="2:7" ht="15.75" customHeight="1">
      <c r="B12" s="4" t="s">
        <v>1</v>
      </c>
      <c r="C12" s="4" t="s">
        <v>2</v>
      </c>
      <c r="D12" s="5" t="s">
        <v>3</v>
      </c>
      <c r="E12" s="6" t="s">
        <v>111</v>
      </c>
      <c r="F12" s="7"/>
      <c r="G12" s="8"/>
    </row>
    <row r="13" spans="2:7" ht="15.75" customHeight="1">
      <c r="B13" s="9" t="s">
        <v>117</v>
      </c>
      <c r="C13" s="10" t="s">
        <v>6</v>
      </c>
      <c r="D13" s="34">
        <f>+D3</f>
        <v>50</v>
      </c>
      <c r="E13" s="12" t="s">
        <v>118</v>
      </c>
      <c r="F13" s="13"/>
      <c r="G13" s="14"/>
    </row>
    <row r="14" spans="2:7" ht="15.75" customHeight="1">
      <c r="B14" s="35" t="s">
        <v>61</v>
      </c>
      <c r="C14" s="71" t="s">
        <v>11</v>
      </c>
      <c r="D14" s="82">
        <f>+ROUNDDOWN(D13*(100-D5)/100*12/D4,1)</f>
        <v>47</v>
      </c>
      <c r="E14" s="73" t="s">
        <v>168</v>
      </c>
      <c r="F14" s="74"/>
      <c r="G14" s="75"/>
    </row>
    <row r="15" spans="2:7" ht="15.75" customHeight="1">
      <c r="B15" s="15" t="s">
        <v>107</v>
      </c>
      <c r="C15" s="22" t="s">
        <v>11</v>
      </c>
      <c r="D15" s="106">
        <f>+ROUNDUP(D3*(D7/100),1)</f>
        <v>5</v>
      </c>
      <c r="E15" s="18" t="s">
        <v>119</v>
      </c>
      <c r="F15" s="19"/>
      <c r="G15" s="20"/>
    </row>
    <row r="16" spans="2:7" ht="15.75" customHeight="1">
      <c r="B16" s="15" t="s">
        <v>110</v>
      </c>
      <c r="C16" s="22" t="s">
        <v>11</v>
      </c>
      <c r="D16" s="106">
        <f>+ROUNDUP(D15*D8/100,1)</f>
        <v>1</v>
      </c>
      <c r="E16" s="18" t="s">
        <v>120</v>
      </c>
      <c r="F16" s="19"/>
      <c r="G16" s="20"/>
    </row>
    <row r="17" spans="2:7" ht="15.75" customHeight="1">
      <c r="B17" s="35" t="s">
        <v>62</v>
      </c>
      <c r="C17" s="71" t="s">
        <v>11</v>
      </c>
      <c r="D17" s="107">
        <f>+ROUNDUP((D15-D16)/((100-D6)/100),1)</f>
        <v>4.1</v>
      </c>
      <c r="E17" s="18" t="s">
        <v>169</v>
      </c>
      <c r="F17" s="19"/>
      <c r="G17" s="20"/>
    </row>
    <row r="18" spans="2:7" ht="15.75" customHeight="1">
      <c r="B18" s="35" t="s">
        <v>47</v>
      </c>
      <c r="C18" s="22"/>
      <c r="D18" s="108"/>
      <c r="E18" s="18"/>
      <c r="F18" s="19"/>
      <c r="G18" s="20"/>
    </row>
    <row r="19" spans="2:7" ht="15.75" customHeight="1">
      <c r="B19" s="35" t="s">
        <v>67</v>
      </c>
      <c r="C19" s="22" t="s">
        <v>6</v>
      </c>
      <c r="D19" s="107">
        <f>+ROUND((D14*((100-D6)/100)/2),1)</f>
        <v>23</v>
      </c>
      <c r="E19" s="18" t="s">
        <v>170</v>
      </c>
      <c r="F19" s="19"/>
      <c r="G19" s="20"/>
    </row>
    <row r="20" spans="2:8" ht="15.75" customHeight="1">
      <c r="B20" s="105" t="s">
        <v>68</v>
      </c>
      <c r="C20" s="100" t="s">
        <v>6</v>
      </c>
      <c r="D20" s="109">
        <f>+D19-D17</f>
        <v>18.9</v>
      </c>
      <c r="E20" s="18" t="s">
        <v>171</v>
      </c>
      <c r="F20" s="102"/>
      <c r="G20" s="103"/>
      <c r="H20" s="3"/>
    </row>
    <row r="21" spans="2:8" ht="15.75" customHeight="1">
      <c r="B21" s="86" t="s">
        <v>94</v>
      </c>
      <c r="C21" s="77" t="s">
        <v>95</v>
      </c>
      <c r="D21" s="87">
        <f>+D3/D9</f>
        <v>2</v>
      </c>
      <c r="E21" s="40" t="s">
        <v>172</v>
      </c>
      <c r="F21" s="79"/>
      <c r="G21" s="80"/>
      <c r="H21" s="3"/>
    </row>
    <row r="22" spans="2:8" ht="15.75" customHeight="1">
      <c r="B22" s="88"/>
      <c r="C22" s="89"/>
      <c r="D22" s="90"/>
      <c r="E22" s="91"/>
      <c r="F22" s="91"/>
      <c r="G22" s="91"/>
      <c r="H22" s="3"/>
    </row>
    <row r="23" spans="2:7" s="41" customFormat="1" ht="15.75" customHeight="1">
      <c r="B23" s="42" t="s">
        <v>12</v>
      </c>
      <c r="C23" s="43"/>
      <c r="D23" s="43"/>
      <c r="E23" s="43"/>
      <c r="F23" s="43"/>
      <c r="G23" s="43"/>
    </row>
    <row r="24" spans="2:7" s="41" customFormat="1" ht="12.75">
      <c r="B24" s="138" t="s">
        <v>1</v>
      </c>
      <c r="C24" s="140" t="s">
        <v>2</v>
      </c>
      <c r="D24" s="142" t="s">
        <v>13</v>
      </c>
      <c r="E24" s="143"/>
      <c r="F24" s="143"/>
      <c r="G24" s="140" t="s">
        <v>43</v>
      </c>
    </row>
    <row r="25" spans="2:7" s="41" customFormat="1" ht="33.75" customHeight="1">
      <c r="B25" s="139"/>
      <c r="C25" s="141"/>
      <c r="D25" s="44" t="s">
        <v>30</v>
      </c>
      <c r="E25" s="45" t="s">
        <v>46</v>
      </c>
      <c r="F25" s="46" t="s">
        <v>45</v>
      </c>
      <c r="G25" s="141"/>
    </row>
    <row r="26" spans="2:7" s="41" customFormat="1" ht="15.75" customHeight="1">
      <c r="B26" s="47" t="s">
        <v>105</v>
      </c>
      <c r="C26" s="48" t="s">
        <v>14</v>
      </c>
      <c r="D26" s="49">
        <f>SUM(D27:D29)</f>
        <v>18964150</v>
      </c>
      <c r="E26" s="49">
        <f>+ROUND(D26/$D$13,0)</f>
        <v>379283</v>
      </c>
      <c r="F26" s="49">
        <f>+ROUND(D26/SUM($D$19:$D$20),0)</f>
        <v>452605</v>
      </c>
      <c r="G26" s="144" t="s">
        <v>185</v>
      </c>
    </row>
    <row r="27" spans="2:7" s="41" customFormat="1" ht="15.75" customHeight="1">
      <c r="B27" s="50" t="s">
        <v>52</v>
      </c>
      <c r="C27" s="51" t="s">
        <v>14</v>
      </c>
      <c r="D27" s="52">
        <f>+(D19*G28+D20*G31)*1.05</f>
        <v>17813250</v>
      </c>
      <c r="E27" s="52">
        <f>+ROUND(D27/$D$13,0)</f>
        <v>356265</v>
      </c>
      <c r="F27" s="52">
        <f>+ROUND(D27/SUM($D$19:$D$20),0)</f>
        <v>425137</v>
      </c>
      <c r="G27" s="145"/>
    </row>
    <row r="28" spans="2:7" s="41" customFormat="1" ht="15.75" customHeight="1">
      <c r="B28" s="50" t="s">
        <v>16</v>
      </c>
      <c r="C28" s="51" t="s">
        <v>14</v>
      </c>
      <c r="D28" s="52">
        <f>+E28*$D$13</f>
        <v>110900</v>
      </c>
      <c r="E28" s="53">
        <v>2218</v>
      </c>
      <c r="F28" s="52">
        <f aca="true" t="shared" si="0" ref="F28:F40">+ROUND(D28/SUM($D$19:$D$20),0)</f>
        <v>2647</v>
      </c>
      <c r="G28" s="54">
        <v>450000</v>
      </c>
    </row>
    <row r="29" spans="2:7" s="41" customFormat="1" ht="15.75" customHeight="1">
      <c r="B29" s="50" t="s">
        <v>17</v>
      </c>
      <c r="C29" s="51" t="s">
        <v>14</v>
      </c>
      <c r="D29" s="52">
        <f>+E29*$D$13</f>
        <v>1040000</v>
      </c>
      <c r="E29" s="53">
        <v>20800</v>
      </c>
      <c r="F29" s="52">
        <f t="shared" si="0"/>
        <v>24821</v>
      </c>
      <c r="G29" s="145" t="s">
        <v>186</v>
      </c>
    </row>
    <row r="30" spans="2:7" s="41" customFormat="1" ht="15.75" customHeight="1">
      <c r="B30" s="50" t="s">
        <v>18</v>
      </c>
      <c r="C30" s="51" t="s">
        <v>14</v>
      </c>
      <c r="D30" s="52">
        <f>+SUM(D38:D40)</f>
        <v>17116550</v>
      </c>
      <c r="E30" s="52">
        <f>+SUM(E38:E40)</f>
        <v>342331</v>
      </c>
      <c r="F30" s="52">
        <f t="shared" si="0"/>
        <v>408510</v>
      </c>
      <c r="G30" s="145"/>
    </row>
    <row r="31" spans="2:7" s="41" customFormat="1" ht="15.75" customHeight="1">
      <c r="B31" s="50" t="s">
        <v>58</v>
      </c>
      <c r="C31" s="51" t="s">
        <v>14</v>
      </c>
      <c r="D31" s="52">
        <f>+E31*$D$13</f>
        <v>4798550</v>
      </c>
      <c r="E31" s="53">
        <v>95971</v>
      </c>
      <c r="F31" s="52">
        <f t="shared" si="0"/>
        <v>114524</v>
      </c>
      <c r="G31" s="54">
        <v>350000</v>
      </c>
    </row>
    <row r="32" spans="2:7" s="41" customFormat="1" ht="15.75" customHeight="1">
      <c r="B32" s="50" t="s">
        <v>59</v>
      </c>
      <c r="C32" s="51" t="s">
        <v>14</v>
      </c>
      <c r="D32" s="52">
        <f>+E32*$D$13</f>
        <v>528150</v>
      </c>
      <c r="E32" s="53">
        <v>10563</v>
      </c>
      <c r="F32" s="52">
        <f t="shared" si="0"/>
        <v>12605</v>
      </c>
      <c r="G32" s="146" t="s">
        <v>187</v>
      </c>
    </row>
    <row r="33" spans="2:7" s="41" customFormat="1" ht="15.75" customHeight="1">
      <c r="B33" s="50" t="s">
        <v>20</v>
      </c>
      <c r="C33" s="51" t="s">
        <v>14</v>
      </c>
      <c r="D33" s="52">
        <f>+G34*$D$16*1.05</f>
        <v>525000</v>
      </c>
      <c r="E33" s="52">
        <f>+D33/$D$13</f>
        <v>10500</v>
      </c>
      <c r="F33" s="52">
        <f t="shared" si="0"/>
        <v>12530</v>
      </c>
      <c r="G33" s="146"/>
    </row>
    <row r="34" spans="2:7" s="41" customFormat="1" ht="15.75" customHeight="1">
      <c r="B34" s="50" t="s">
        <v>60</v>
      </c>
      <c r="C34" s="51" t="s">
        <v>14</v>
      </c>
      <c r="D34" s="52">
        <f>+E34*$D$13</f>
        <v>743600</v>
      </c>
      <c r="E34" s="53">
        <v>14872</v>
      </c>
      <c r="F34" s="52">
        <f t="shared" si="0"/>
        <v>17747</v>
      </c>
      <c r="G34" s="54">
        <v>500000</v>
      </c>
    </row>
    <row r="35" spans="2:7" s="41" customFormat="1" ht="15.75" customHeight="1">
      <c r="B35" s="50" t="s">
        <v>21</v>
      </c>
      <c r="C35" s="51" t="s">
        <v>14</v>
      </c>
      <c r="D35" s="52">
        <f>+E35*$D$13</f>
        <v>446450</v>
      </c>
      <c r="E35" s="53">
        <v>8929</v>
      </c>
      <c r="F35" s="52">
        <f t="shared" si="0"/>
        <v>10655</v>
      </c>
      <c r="G35" s="145" t="s">
        <v>183</v>
      </c>
    </row>
    <row r="36" spans="2:7" s="41" customFormat="1" ht="15.75" customHeight="1">
      <c r="B36" s="50" t="s">
        <v>93</v>
      </c>
      <c r="C36" s="51" t="s">
        <v>14</v>
      </c>
      <c r="D36" s="52">
        <f>+D21*G37*2000</f>
        <v>6000000</v>
      </c>
      <c r="E36" s="52">
        <f>+ROUND(D36/$D$13,0)</f>
        <v>120000</v>
      </c>
      <c r="F36" s="52">
        <f t="shared" si="0"/>
        <v>143198</v>
      </c>
      <c r="G36" s="145"/>
    </row>
    <row r="37" spans="2:7" s="41" customFormat="1" ht="15.75" customHeight="1">
      <c r="B37" s="50" t="s">
        <v>22</v>
      </c>
      <c r="C37" s="51" t="s">
        <v>14</v>
      </c>
      <c r="D37" s="52">
        <f>+E37*$D$13</f>
        <v>1619500</v>
      </c>
      <c r="E37" s="53">
        <v>32390</v>
      </c>
      <c r="F37" s="52">
        <f t="shared" si="0"/>
        <v>38652</v>
      </c>
      <c r="G37" s="54">
        <v>1500</v>
      </c>
    </row>
    <row r="38" spans="2:7" s="41" customFormat="1" ht="15.75" customHeight="1">
      <c r="B38" s="50" t="s">
        <v>23</v>
      </c>
      <c r="C38" s="51" t="s">
        <v>14</v>
      </c>
      <c r="D38" s="52">
        <f>SUM(D31:D37)</f>
        <v>14661250</v>
      </c>
      <c r="E38" s="52">
        <f>SUM(E31:E37)</f>
        <v>293225</v>
      </c>
      <c r="F38" s="52">
        <f t="shared" si="0"/>
        <v>349911</v>
      </c>
      <c r="G38" s="55"/>
    </row>
    <row r="39" spans="2:7" s="41" customFormat="1" ht="15.75" customHeight="1">
      <c r="B39" s="50" t="s">
        <v>24</v>
      </c>
      <c r="C39" s="51" t="s">
        <v>14</v>
      </c>
      <c r="D39" s="52">
        <f>+E39*$D$13</f>
        <v>1960100</v>
      </c>
      <c r="E39" s="53">
        <v>39202</v>
      </c>
      <c r="F39" s="52">
        <f t="shared" si="0"/>
        <v>46780</v>
      </c>
      <c r="G39" s="55"/>
    </row>
    <row r="40" spans="2:7" s="41" customFormat="1" ht="15.75" customHeight="1">
      <c r="B40" s="50" t="s">
        <v>25</v>
      </c>
      <c r="C40" s="51" t="s">
        <v>14</v>
      </c>
      <c r="D40" s="52">
        <f>+E40*$D$13</f>
        <v>495200</v>
      </c>
      <c r="E40" s="53">
        <v>9904</v>
      </c>
      <c r="F40" s="52">
        <f t="shared" si="0"/>
        <v>11819</v>
      </c>
      <c r="G40" s="55"/>
    </row>
    <row r="41" spans="2:7" s="41" customFormat="1" ht="15.75" customHeight="1">
      <c r="B41" s="56" t="s">
        <v>26</v>
      </c>
      <c r="C41" s="57" t="s">
        <v>14</v>
      </c>
      <c r="D41" s="58">
        <f>+D26-D30</f>
        <v>1847600</v>
      </c>
      <c r="E41" s="58">
        <f>+ROUND(D41/$D$13,0)</f>
        <v>36952</v>
      </c>
      <c r="F41" s="52">
        <f>+ROUND(D41/$D$14,0)</f>
        <v>39311</v>
      </c>
      <c r="G41" s="59"/>
    </row>
    <row r="42" spans="2:7" s="41" customFormat="1" ht="15.75" customHeight="1">
      <c r="B42" s="3"/>
      <c r="C42" s="110"/>
      <c r="D42" s="111"/>
      <c r="E42" s="111"/>
      <c r="F42" s="111"/>
      <c r="G42" s="111"/>
    </row>
    <row r="43" spans="2:7" s="41" customFormat="1" ht="15.75" customHeight="1">
      <c r="B43" s="60" t="s">
        <v>38</v>
      </c>
      <c r="C43" s="61"/>
      <c r="D43" s="43"/>
      <c r="E43" s="43"/>
      <c r="F43" s="43"/>
      <c r="G43" s="43"/>
    </row>
    <row r="44" spans="2:7" s="41" customFormat="1" ht="15.75" customHeight="1">
      <c r="B44" s="138" t="s">
        <v>1</v>
      </c>
      <c r="C44" s="140" t="s">
        <v>2</v>
      </c>
      <c r="D44" s="142" t="s">
        <v>13</v>
      </c>
      <c r="E44" s="143"/>
      <c r="F44" s="143"/>
      <c r="G44" s="140" t="s">
        <v>43</v>
      </c>
    </row>
    <row r="45" spans="2:7" s="41" customFormat="1" ht="33.75" customHeight="1">
      <c r="B45" s="139"/>
      <c r="C45" s="141"/>
      <c r="D45" s="44" t="s">
        <v>30</v>
      </c>
      <c r="E45" s="45" t="s">
        <v>46</v>
      </c>
      <c r="F45" s="46" t="s">
        <v>45</v>
      </c>
      <c r="G45" s="141"/>
    </row>
    <row r="46" spans="2:7" s="41" customFormat="1" ht="12.75">
      <c r="B46" s="47" t="s">
        <v>27</v>
      </c>
      <c r="C46" s="48" t="s">
        <v>14</v>
      </c>
      <c r="D46" s="62">
        <f>+D41</f>
        <v>1847600</v>
      </c>
      <c r="E46" s="93">
        <f>+ROUND(D46/$D$13,0)</f>
        <v>36952</v>
      </c>
      <c r="F46" s="49">
        <f>+ROUND(D46/$D$14,0)</f>
        <v>39311</v>
      </c>
      <c r="G46" s="63"/>
    </row>
    <row r="47" spans="2:7" s="41" customFormat="1" ht="15.75" customHeight="1">
      <c r="B47" s="50" t="s">
        <v>28</v>
      </c>
      <c r="C47" s="51" t="s">
        <v>14</v>
      </c>
      <c r="D47" s="64">
        <f>+E47*$D$13</f>
        <v>706550</v>
      </c>
      <c r="E47" s="65">
        <v>14131</v>
      </c>
      <c r="F47" s="52">
        <f>+ROUND(D47/$D$14,0)</f>
        <v>15033</v>
      </c>
      <c r="G47" s="55"/>
    </row>
    <row r="48" spans="2:7" s="41" customFormat="1" ht="15.75" customHeight="1">
      <c r="B48" s="50" t="s">
        <v>29</v>
      </c>
      <c r="C48" s="51" t="s">
        <v>14</v>
      </c>
      <c r="D48" s="66">
        <f>+D46-D47</f>
        <v>1141050</v>
      </c>
      <c r="E48" s="94">
        <f>+ROUND(D48/$D$13,0)</f>
        <v>22821</v>
      </c>
      <c r="F48" s="52">
        <f>+ROUND(D48/$D$14,0)</f>
        <v>24278</v>
      </c>
      <c r="G48" s="55"/>
    </row>
    <row r="49" spans="2:7" s="41" customFormat="1" ht="15.75" customHeight="1">
      <c r="B49" s="56" t="s">
        <v>37</v>
      </c>
      <c r="C49" s="57" t="s">
        <v>14</v>
      </c>
      <c r="D49" s="67">
        <f>+E49*$D$13</f>
        <v>4098300</v>
      </c>
      <c r="E49" s="68">
        <v>81966</v>
      </c>
      <c r="F49" s="58">
        <f>+ROUND(D49/$D$14,0)</f>
        <v>87198</v>
      </c>
      <c r="G49" s="59"/>
    </row>
    <row r="50" spans="2:8" s="41" customFormat="1" ht="15.75" customHeight="1">
      <c r="B50" s="3"/>
      <c r="C50" s="3"/>
      <c r="D50" s="3"/>
      <c r="E50" s="29"/>
      <c r="F50" s="29"/>
      <c r="G50" s="29"/>
      <c r="H50" s="69"/>
    </row>
  </sheetData>
  <mergeCells count="12">
    <mergeCell ref="G26:G27"/>
    <mergeCell ref="B44:B45"/>
    <mergeCell ref="C44:C45"/>
    <mergeCell ref="D44:F44"/>
    <mergeCell ref="G44:G45"/>
    <mergeCell ref="G29:G30"/>
    <mergeCell ref="G35:G36"/>
    <mergeCell ref="G32:G33"/>
    <mergeCell ref="B24:B25"/>
    <mergeCell ref="C24:C25"/>
    <mergeCell ref="D24:F24"/>
    <mergeCell ref="G24:G25"/>
  </mergeCells>
  <printOptions horizontalCentered="1"/>
  <pageMargins left="0.3937007874015748" right="0.1968503937007874" top="0.984251968503937" bottom="0.3937007874015748" header="0.7874015748031497" footer="0.1968503937007874"/>
  <pageSetup horizontalDpi="300" verticalDpi="300" orientation="portrait" paperSize="9" scale="95" r:id="rId1"/>
  <headerFooter alignWithMargins="0">
    <oddHeader>&amp;C&amp;"ＭＳ 明朝,太字"&amp;14モデル経営試算  &amp;A</oddHeader>
    <oddFooter>&amp;C&amp;"ＭＳ 明朝,標準"40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51"/>
  <sheetViews>
    <sheetView showGridLines="0" tabSelected="1" workbookViewId="0" topLeftCell="A1">
      <selection activeCell="E7" sqref="E7"/>
    </sheetView>
  </sheetViews>
  <sheetFormatPr defaultColWidth="9.00390625" defaultRowHeight="15.75" customHeight="1"/>
  <cols>
    <col min="1" max="1" width="0.875" style="1" customWidth="1"/>
    <col min="2" max="2" width="30.625" style="1" customWidth="1"/>
    <col min="3" max="3" width="6.625" style="1" customWidth="1"/>
    <col min="4" max="6" width="15.625" style="1" customWidth="1"/>
    <col min="7" max="7" width="18.625" style="1" customWidth="1"/>
    <col min="8" max="8" width="20.875" style="1" customWidth="1"/>
    <col min="9" max="16384" width="9.00390625" style="1" customWidth="1"/>
  </cols>
  <sheetData>
    <row r="1" spans="2:8" ht="15.75" customHeight="1">
      <c r="B1" s="2" t="s">
        <v>0</v>
      </c>
      <c r="C1" s="3"/>
      <c r="D1" s="3"/>
      <c r="E1" s="3"/>
      <c r="F1" s="3"/>
      <c r="G1" s="3"/>
      <c r="H1" s="3"/>
    </row>
    <row r="2" spans="2:11" ht="15.75" customHeight="1">
      <c r="B2" s="4" t="s">
        <v>1</v>
      </c>
      <c r="C2" s="5" t="s">
        <v>2</v>
      </c>
      <c r="D2" s="5" t="s">
        <v>3</v>
      </c>
      <c r="E2" s="6" t="s">
        <v>4</v>
      </c>
      <c r="F2" s="7"/>
      <c r="G2" s="8"/>
      <c r="I2" s="95" t="s">
        <v>83</v>
      </c>
      <c r="J2" s="95" t="s">
        <v>85</v>
      </c>
      <c r="K2" s="95" t="s">
        <v>86</v>
      </c>
    </row>
    <row r="3" spans="2:11" ht="15.75" customHeight="1">
      <c r="B3" s="9" t="s">
        <v>53</v>
      </c>
      <c r="C3" s="10" t="s">
        <v>6</v>
      </c>
      <c r="D3" s="11">
        <v>200</v>
      </c>
      <c r="E3" s="12" t="s">
        <v>70</v>
      </c>
      <c r="F3" s="13"/>
      <c r="G3" s="14"/>
      <c r="I3" s="95">
        <v>5</v>
      </c>
      <c r="J3" s="96">
        <v>25</v>
      </c>
      <c r="K3" s="97">
        <v>2300</v>
      </c>
    </row>
    <row r="4" spans="2:11" ht="15.75" customHeight="1">
      <c r="B4" s="70" t="s">
        <v>78</v>
      </c>
      <c r="C4" s="71" t="s">
        <v>79</v>
      </c>
      <c r="D4" s="72">
        <v>8</v>
      </c>
      <c r="E4" s="73"/>
      <c r="F4" s="74"/>
      <c r="G4" s="75"/>
      <c r="I4" s="95">
        <v>4</v>
      </c>
      <c r="J4" s="96">
        <v>40</v>
      </c>
      <c r="K4" s="97">
        <v>1900</v>
      </c>
    </row>
    <row r="5" spans="2:11" ht="15.75" customHeight="1">
      <c r="B5" s="15" t="s">
        <v>71</v>
      </c>
      <c r="C5" s="16" t="s">
        <v>154</v>
      </c>
      <c r="D5" s="17">
        <v>270</v>
      </c>
      <c r="E5" s="18"/>
      <c r="F5" s="19"/>
      <c r="G5" s="20"/>
      <c r="I5" s="95">
        <v>3</v>
      </c>
      <c r="J5" s="96">
        <v>25</v>
      </c>
      <c r="K5" s="97">
        <v>1500</v>
      </c>
    </row>
    <row r="6" spans="2:11" ht="15.75" customHeight="1">
      <c r="B6" s="15" t="s">
        <v>80</v>
      </c>
      <c r="C6" s="22" t="s">
        <v>79</v>
      </c>
      <c r="D6" s="21">
        <v>28</v>
      </c>
      <c r="E6" s="18"/>
      <c r="F6" s="19"/>
      <c r="G6" s="20"/>
      <c r="I6" s="95">
        <v>2</v>
      </c>
      <c r="J6" s="96">
        <v>10</v>
      </c>
      <c r="K6" s="97">
        <v>1200</v>
      </c>
    </row>
    <row r="7" spans="2:12" ht="15.75" customHeight="1">
      <c r="B7" s="15" t="s">
        <v>81</v>
      </c>
      <c r="C7" s="16" t="s">
        <v>155</v>
      </c>
      <c r="D7" s="17">
        <v>720</v>
      </c>
      <c r="E7" s="18"/>
      <c r="F7" s="19"/>
      <c r="G7" s="20"/>
      <c r="I7" s="95" t="s">
        <v>84</v>
      </c>
      <c r="J7" s="96">
        <v>100</v>
      </c>
      <c r="K7" s="97"/>
      <c r="L7" s="98">
        <f>+SUM(J3*K3,J4*K4,J5*K5,J6*K6)/100</f>
        <v>1830</v>
      </c>
    </row>
    <row r="8" spans="2:11" ht="15.75" customHeight="1">
      <c r="B8" s="15" t="s">
        <v>73</v>
      </c>
      <c r="C8" s="22" t="s">
        <v>156</v>
      </c>
      <c r="D8" s="17">
        <v>2</v>
      </c>
      <c r="E8" s="18"/>
      <c r="F8" s="19"/>
      <c r="G8" s="20"/>
      <c r="K8" s="97">
        <v>25</v>
      </c>
    </row>
    <row r="9" spans="2:7" ht="15.75" customHeight="1">
      <c r="B9" s="15" t="s">
        <v>74</v>
      </c>
      <c r="C9" s="22" t="s">
        <v>157</v>
      </c>
      <c r="D9" s="17">
        <v>63</v>
      </c>
      <c r="E9" s="18"/>
      <c r="F9" s="19"/>
      <c r="G9" s="20"/>
    </row>
    <row r="10" spans="2:7" ht="15.75" customHeight="1">
      <c r="B10" s="99" t="s">
        <v>75</v>
      </c>
      <c r="C10" s="100" t="s">
        <v>149</v>
      </c>
      <c r="D10" s="101">
        <v>65</v>
      </c>
      <c r="E10" s="85" t="s">
        <v>138</v>
      </c>
      <c r="F10" s="102"/>
      <c r="G10" s="103"/>
    </row>
    <row r="11" spans="2:7" ht="15.75" customHeight="1">
      <c r="B11" s="76" t="s">
        <v>98</v>
      </c>
      <c r="C11" s="77" t="s">
        <v>104</v>
      </c>
      <c r="D11" s="78">
        <v>75</v>
      </c>
      <c r="E11" s="40"/>
      <c r="F11" s="79"/>
      <c r="G11" s="80"/>
    </row>
    <row r="12" spans="2:7" ht="15.75" customHeight="1">
      <c r="B12" s="29"/>
      <c r="C12" s="30"/>
      <c r="D12" s="31"/>
      <c r="E12" s="3"/>
      <c r="F12" s="3"/>
      <c r="G12" s="3"/>
    </row>
    <row r="13" spans="2:7" ht="15.75" customHeight="1">
      <c r="B13" s="32" t="s">
        <v>10</v>
      </c>
      <c r="C13" s="33"/>
      <c r="D13" s="3"/>
      <c r="E13" s="3"/>
      <c r="F13" s="3"/>
      <c r="G13" s="3"/>
    </row>
    <row r="14" spans="2:7" ht="15.75" customHeight="1">
      <c r="B14" s="4" t="s">
        <v>1</v>
      </c>
      <c r="C14" s="4" t="s">
        <v>2</v>
      </c>
      <c r="D14" s="5" t="s">
        <v>3</v>
      </c>
      <c r="E14" s="6" t="s">
        <v>111</v>
      </c>
      <c r="F14" s="7"/>
      <c r="G14" s="8"/>
    </row>
    <row r="15" spans="2:7" ht="15.75" customHeight="1">
      <c r="B15" s="9" t="s">
        <v>121</v>
      </c>
      <c r="C15" s="10" t="s">
        <v>6</v>
      </c>
      <c r="D15" s="34">
        <f>+D3</f>
        <v>200</v>
      </c>
      <c r="E15" s="12" t="s">
        <v>122</v>
      </c>
      <c r="F15" s="13"/>
      <c r="G15" s="14"/>
    </row>
    <row r="16" spans="2:7" ht="15.75" customHeight="1">
      <c r="B16" s="70" t="s">
        <v>76</v>
      </c>
      <c r="C16" s="71" t="s">
        <v>11</v>
      </c>
      <c r="D16" s="81">
        <f>+ROUND(D15*12/(D6-D4),1)</f>
        <v>120</v>
      </c>
      <c r="E16" s="73" t="s">
        <v>173</v>
      </c>
      <c r="F16" s="74"/>
      <c r="G16" s="75"/>
    </row>
    <row r="17" spans="2:7" ht="31.5" customHeight="1">
      <c r="B17" s="35" t="s">
        <v>54</v>
      </c>
      <c r="C17" s="71" t="s">
        <v>11</v>
      </c>
      <c r="D17" s="82">
        <f>+ROUND(D15*(100-D8)/100/((D6-D4)/12),1)</f>
        <v>117.6</v>
      </c>
      <c r="E17" s="147" t="s">
        <v>174</v>
      </c>
      <c r="F17" s="148"/>
      <c r="G17" s="149"/>
    </row>
    <row r="18" spans="2:7" ht="15.75" customHeight="1">
      <c r="B18" s="35" t="s">
        <v>72</v>
      </c>
      <c r="C18" s="22" t="s">
        <v>8</v>
      </c>
      <c r="D18" s="83">
        <f>+ROUND((D6-D4)*30.4,0)</f>
        <v>608</v>
      </c>
      <c r="E18" s="73" t="s">
        <v>175</v>
      </c>
      <c r="F18" s="19"/>
      <c r="G18" s="20"/>
    </row>
    <row r="19" spans="2:7" ht="15.75" customHeight="1">
      <c r="B19" s="35" t="s">
        <v>82</v>
      </c>
      <c r="C19" s="22" t="s">
        <v>158</v>
      </c>
      <c r="D19" s="84">
        <f>+ROUND((D7-D5)/D18,2)</f>
        <v>0.74</v>
      </c>
      <c r="E19" s="18" t="s">
        <v>124</v>
      </c>
      <c r="F19" s="19"/>
      <c r="G19" s="20"/>
    </row>
    <row r="20" spans="2:7" ht="15.75" customHeight="1">
      <c r="B20" s="105" t="s">
        <v>77</v>
      </c>
      <c r="C20" s="100" t="s">
        <v>159</v>
      </c>
      <c r="D20" s="104">
        <f>+ROUND(D7*D9/100,0)</f>
        <v>454</v>
      </c>
      <c r="E20" s="85" t="s">
        <v>125</v>
      </c>
      <c r="F20" s="102"/>
      <c r="G20" s="103"/>
    </row>
    <row r="21" spans="2:8" ht="15.75" customHeight="1">
      <c r="B21" s="86" t="s">
        <v>94</v>
      </c>
      <c r="C21" s="77" t="s">
        <v>95</v>
      </c>
      <c r="D21" s="87">
        <f>+ROUND(D3/D11,1)</f>
        <v>2.7</v>
      </c>
      <c r="E21" s="40" t="s">
        <v>176</v>
      </c>
      <c r="F21" s="79"/>
      <c r="G21" s="80"/>
      <c r="H21" s="3"/>
    </row>
    <row r="22" spans="2:8" ht="15.75" customHeight="1">
      <c r="B22" s="88"/>
      <c r="C22" s="89"/>
      <c r="D22" s="90"/>
      <c r="E22" s="91"/>
      <c r="F22" s="91"/>
      <c r="G22" s="91"/>
      <c r="H22" s="3"/>
    </row>
    <row r="23" spans="2:8" s="41" customFormat="1" ht="15.75" customHeight="1">
      <c r="B23" s="42" t="s">
        <v>12</v>
      </c>
      <c r="C23" s="43"/>
      <c r="D23" s="43"/>
      <c r="E23" s="43"/>
      <c r="F23" s="43"/>
      <c r="G23" s="43"/>
      <c r="H23" s="43"/>
    </row>
    <row r="24" spans="2:7" s="41" customFormat="1" ht="15.75" customHeight="1">
      <c r="B24" s="138" t="s">
        <v>1</v>
      </c>
      <c r="C24" s="140" t="s">
        <v>2</v>
      </c>
      <c r="D24" s="142" t="s">
        <v>13</v>
      </c>
      <c r="E24" s="143"/>
      <c r="F24" s="143"/>
      <c r="G24" s="140" t="s">
        <v>43</v>
      </c>
    </row>
    <row r="25" spans="2:7" s="41" customFormat="1" ht="33.75" customHeight="1">
      <c r="B25" s="139"/>
      <c r="C25" s="141"/>
      <c r="D25" s="44" t="s">
        <v>30</v>
      </c>
      <c r="E25" s="45" t="s">
        <v>137</v>
      </c>
      <c r="F25" s="46" t="s">
        <v>49</v>
      </c>
      <c r="G25" s="141"/>
    </row>
    <row r="26" spans="2:7" s="41" customFormat="1" ht="15.75" customHeight="1">
      <c r="B26" s="47" t="s">
        <v>160</v>
      </c>
      <c r="C26" s="48" t="s">
        <v>14</v>
      </c>
      <c r="D26" s="49">
        <f>SUM(D27:D29)</f>
        <v>106551171.1</v>
      </c>
      <c r="E26" s="49">
        <f>+ROUND(D26/$D$15,0)</f>
        <v>532756</v>
      </c>
      <c r="F26" s="49">
        <f>+ROUND(D26/$D$17,0)</f>
        <v>906047</v>
      </c>
      <c r="G26" s="144" t="s">
        <v>181</v>
      </c>
    </row>
    <row r="27" spans="2:7" s="41" customFormat="1" ht="15.75" customHeight="1">
      <c r="B27" s="50" t="s">
        <v>55</v>
      </c>
      <c r="C27" s="51" t="s">
        <v>14</v>
      </c>
      <c r="D27" s="52">
        <f>+(D20*D17*G28+K8*D20)*1.05</f>
        <v>102601571.1</v>
      </c>
      <c r="E27" s="52">
        <f>+ROUND(D27/$D$15,0)</f>
        <v>513008</v>
      </c>
      <c r="F27" s="52">
        <f aca="true" t="shared" si="0" ref="F27:F41">+ROUND(D27/$D$17,0)</f>
        <v>872462</v>
      </c>
      <c r="G27" s="145"/>
    </row>
    <row r="28" spans="2:7" s="41" customFormat="1" ht="15.75" customHeight="1">
      <c r="B28" s="50" t="s">
        <v>16</v>
      </c>
      <c r="C28" s="51" t="s">
        <v>14</v>
      </c>
      <c r="D28" s="52">
        <f>+E28*$D$15</f>
        <v>678800</v>
      </c>
      <c r="E28" s="53">
        <v>3394</v>
      </c>
      <c r="F28" s="52">
        <f t="shared" si="0"/>
        <v>5772</v>
      </c>
      <c r="G28" s="54">
        <f>+L7</f>
        <v>1830</v>
      </c>
    </row>
    <row r="29" spans="2:7" s="41" customFormat="1" ht="15.75" customHeight="1">
      <c r="B29" s="50" t="s">
        <v>17</v>
      </c>
      <c r="C29" s="51" t="s">
        <v>14</v>
      </c>
      <c r="D29" s="52">
        <f>+E29*$D$15</f>
        <v>3270800</v>
      </c>
      <c r="E29" s="53">
        <v>16354</v>
      </c>
      <c r="F29" s="52">
        <f t="shared" si="0"/>
        <v>27813</v>
      </c>
      <c r="G29" s="146" t="s">
        <v>184</v>
      </c>
    </row>
    <row r="30" spans="2:7" s="41" customFormat="1" ht="15.75" customHeight="1">
      <c r="B30" s="50" t="s">
        <v>18</v>
      </c>
      <c r="C30" s="51" t="s">
        <v>14</v>
      </c>
      <c r="D30" s="52">
        <f>+SUM(D38:D40)</f>
        <v>103096400</v>
      </c>
      <c r="E30" s="52">
        <f>+SUM(E38:E40)</f>
        <v>515482</v>
      </c>
      <c r="F30" s="52">
        <f t="shared" si="0"/>
        <v>876670</v>
      </c>
      <c r="G30" s="128"/>
    </row>
    <row r="31" spans="2:7" s="41" customFormat="1" ht="15.75" customHeight="1">
      <c r="B31" s="50" t="s">
        <v>58</v>
      </c>
      <c r="C31" s="51" t="s">
        <v>14</v>
      </c>
      <c r="D31" s="52">
        <f>+E31*$D$15</f>
        <v>26148200</v>
      </c>
      <c r="E31" s="53">
        <v>130741</v>
      </c>
      <c r="F31" s="52">
        <f t="shared" si="0"/>
        <v>222349</v>
      </c>
      <c r="G31" s="54">
        <v>400000</v>
      </c>
    </row>
    <row r="32" spans="2:7" s="41" customFormat="1" ht="15.75" customHeight="1">
      <c r="B32" s="50" t="s">
        <v>59</v>
      </c>
      <c r="C32" s="51" t="s">
        <v>14</v>
      </c>
      <c r="D32" s="52">
        <f>+E32*$D$15</f>
        <v>307600</v>
      </c>
      <c r="E32" s="53">
        <v>1538</v>
      </c>
      <c r="F32" s="52">
        <f t="shared" si="0"/>
        <v>2616</v>
      </c>
      <c r="G32" s="145" t="s">
        <v>183</v>
      </c>
    </row>
    <row r="33" spans="2:7" s="41" customFormat="1" ht="15.75" customHeight="1">
      <c r="B33" s="50" t="s">
        <v>63</v>
      </c>
      <c r="C33" s="51" t="s">
        <v>14</v>
      </c>
      <c r="D33" s="52">
        <f>+E33*$D$15</f>
        <v>950200</v>
      </c>
      <c r="E33" s="53">
        <v>4751</v>
      </c>
      <c r="F33" s="52">
        <f t="shared" si="0"/>
        <v>8080</v>
      </c>
      <c r="G33" s="145"/>
    </row>
    <row r="34" spans="2:7" s="41" customFormat="1" ht="15.75" customHeight="1">
      <c r="B34" s="50" t="s">
        <v>20</v>
      </c>
      <c r="C34" s="51" t="s">
        <v>14</v>
      </c>
      <c r="D34" s="52">
        <f>+D16*G31*1.05</f>
        <v>50400000</v>
      </c>
      <c r="E34" s="52">
        <f>+D34/$D$15</f>
        <v>252000</v>
      </c>
      <c r="F34" s="52">
        <f t="shared" si="0"/>
        <v>428571</v>
      </c>
      <c r="G34" s="54">
        <v>1500</v>
      </c>
    </row>
    <row r="35" spans="2:7" s="41" customFormat="1" ht="15.75" customHeight="1">
      <c r="B35" s="50" t="s">
        <v>21</v>
      </c>
      <c r="C35" s="51" t="s">
        <v>14</v>
      </c>
      <c r="D35" s="52">
        <f>+E35*$D$15</f>
        <v>819600</v>
      </c>
      <c r="E35" s="53">
        <v>4098</v>
      </c>
      <c r="F35" s="52">
        <f t="shared" si="0"/>
        <v>6969</v>
      </c>
      <c r="G35" s="55"/>
    </row>
    <row r="36" spans="2:7" s="41" customFormat="1" ht="15.75" customHeight="1">
      <c r="B36" s="50" t="s">
        <v>93</v>
      </c>
      <c r="C36" s="51" t="s">
        <v>14</v>
      </c>
      <c r="D36" s="52">
        <f>+D21*G34*2000</f>
        <v>8100000.000000001</v>
      </c>
      <c r="E36" s="52">
        <f>+D36/$D$15</f>
        <v>40500.00000000001</v>
      </c>
      <c r="F36" s="52">
        <f t="shared" si="0"/>
        <v>68878</v>
      </c>
      <c r="G36" s="55"/>
    </row>
    <row r="37" spans="2:7" s="41" customFormat="1" ht="15.75" customHeight="1">
      <c r="B37" s="50" t="s">
        <v>22</v>
      </c>
      <c r="C37" s="51" t="s">
        <v>14</v>
      </c>
      <c r="D37" s="52">
        <f>+E37*$D$15</f>
        <v>3567200</v>
      </c>
      <c r="E37" s="53">
        <v>17836</v>
      </c>
      <c r="F37" s="52">
        <f t="shared" si="0"/>
        <v>30333</v>
      </c>
      <c r="G37" s="55"/>
    </row>
    <row r="38" spans="2:7" s="41" customFormat="1" ht="15.75" customHeight="1">
      <c r="B38" s="50" t="s">
        <v>23</v>
      </c>
      <c r="C38" s="51" t="s">
        <v>14</v>
      </c>
      <c r="D38" s="52">
        <f>SUM(D31:D37)</f>
        <v>90292800</v>
      </c>
      <c r="E38" s="52">
        <f>SUM(E31:E37)</f>
        <v>451464</v>
      </c>
      <c r="F38" s="52">
        <f t="shared" si="0"/>
        <v>767796</v>
      </c>
      <c r="G38" s="55"/>
    </row>
    <row r="39" spans="2:7" s="41" customFormat="1" ht="15.75" customHeight="1">
      <c r="B39" s="50" t="s">
        <v>24</v>
      </c>
      <c r="C39" s="51" t="s">
        <v>14</v>
      </c>
      <c r="D39" s="52">
        <f>+E39*$D$15</f>
        <v>10057600</v>
      </c>
      <c r="E39" s="53">
        <v>50288</v>
      </c>
      <c r="F39" s="52">
        <f t="shared" si="0"/>
        <v>85524</v>
      </c>
      <c r="G39" s="55"/>
    </row>
    <row r="40" spans="2:7" s="41" customFormat="1" ht="15.75" customHeight="1">
      <c r="B40" s="50" t="s">
        <v>25</v>
      </c>
      <c r="C40" s="51" t="s">
        <v>14</v>
      </c>
      <c r="D40" s="52">
        <f>+E40*$D$15</f>
        <v>2746000</v>
      </c>
      <c r="E40" s="53">
        <v>13730</v>
      </c>
      <c r="F40" s="52">
        <f t="shared" si="0"/>
        <v>23350</v>
      </c>
      <c r="G40" s="55"/>
    </row>
    <row r="41" spans="2:7" s="41" customFormat="1" ht="15.75" customHeight="1">
      <c r="B41" s="56" t="s">
        <v>26</v>
      </c>
      <c r="C41" s="57" t="s">
        <v>14</v>
      </c>
      <c r="D41" s="58">
        <f>+D26-D30</f>
        <v>3454771.099999994</v>
      </c>
      <c r="E41" s="58">
        <f>+ROUND(D41/$D$15,0)</f>
        <v>17274</v>
      </c>
      <c r="F41" s="58">
        <f t="shared" si="0"/>
        <v>29377</v>
      </c>
      <c r="G41" s="59"/>
    </row>
    <row r="42" spans="2:7" s="41" customFormat="1" ht="15.75" customHeight="1">
      <c r="B42" s="43"/>
      <c r="C42" s="43"/>
      <c r="D42" s="43"/>
      <c r="E42" s="43"/>
      <c r="F42" s="43"/>
      <c r="G42" s="43"/>
    </row>
    <row r="43" spans="2:7" s="41" customFormat="1" ht="15.75" customHeight="1">
      <c r="B43" s="60" t="s">
        <v>38</v>
      </c>
      <c r="C43" s="61"/>
      <c r="D43" s="43"/>
      <c r="E43" s="43"/>
      <c r="F43" s="43"/>
      <c r="G43" s="43"/>
    </row>
    <row r="44" spans="2:7" s="41" customFormat="1" ht="15.75" customHeight="1">
      <c r="B44" s="138" t="s">
        <v>1</v>
      </c>
      <c r="C44" s="140" t="s">
        <v>2</v>
      </c>
      <c r="D44" s="142" t="s">
        <v>13</v>
      </c>
      <c r="E44" s="143"/>
      <c r="F44" s="143"/>
      <c r="G44" s="140" t="s">
        <v>43</v>
      </c>
    </row>
    <row r="45" spans="2:7" s="41" customFormat="1" ht="33.75" customHeight="1">
      <c r="B45" s="139"/>
      <c r="C45" s="141"/>
      <c r="D45" s="44" t="s">
        <v>30</v>
      </c>
      <c r="E45" s="45" t="s">
        <v>48</v>
      </c>
      <c r="F45" s="46" t="s">
        <v>49</v>
      </c>
      <c r="G45" s="141"/>
    </row>
    <row r="46" spans="2:7" s="41" customFormat="1" ht="12.75">
      <c r="B46" s="47" t="s">
        <v>27</v>
      </c>
      <c r="C46" s="48" t="s">
        <v>14</v>
      </c>
      <c r="D46" s="62">
        <f>+D41</f>
        <v>3454771.099999994</v>
      </c>
      <c r="E46" s="93">
        <f>+ROUND(D46/$D$15,0)</f>
        <v>17274</v>
      </c>
      <c r="F46" s="49">
        <f>+ROUND(D46/$D$17,0)</f>
        <v>29377</v>
      </c>
      <c r="G46" s="63"/>
    </row>
    <row r="47" spans="2:7" s="41" customFormat="1" ht="15.75" customHeight="1">
      <c r="B47" s="50" t="s">
        <v>28</v>
      </c>
      <c r="C47" s="51" t="s">
        <v>14</v>
      </c>
      <c r="D47" s="64">
        <f>+E47*$D$15</f>
        <v>3859800</v>
      </c>
      <c r="E47" s="65">
        <v>19299</v>
      </c>
      <c r="F47" s="52">
        <f>+ROUND(D47/$D$17,0)</f>
        <v>32821</v>
      </c>
      <c r="G47" s="55"/>
    </row>
    <row r="48" spans="2:7" s="41" customFormat="1" ht="15.75" customHeight="1">
      <c r="B48" s="50" t="s">
        <v>29</v>
      </c>
      <c r="C48" s="51" t="s">
        <v>14</v>
      </c>
      <c r="D48" s="66">
        <f>+D46-D47</f>
        <v>-405028.90000000596</v>
      </c>
      <c r="E48" s="94">
        <f>+ROUND(D48/$D$15,0)</f>
        <v>-2025</v>
      </c>
      <c r="F48" s="52">
        <f>+ROUND(D48/$D$17,0)</f>
        <v>-3444</v>
      </c>
      <c r="G48" s="55"/>
    </row>
    <row r="49" spans="2:7" s="41" customFormat="1" ht="15.75" customHeight="1">
      <c r="B49" s="56" t="s">
        <v>37</v>
      </c>
      <c r="C49" s="57" t="s">
        <v>14</v>
      </c>
      <c r="D49" s="67">
        <f>+E49*$D$15</f>
        <v>38784400</v>
      </c>
      <c r="E49" s="68">
        <v>193922</v>
      </c>
      <c r="F49" s="58">
        <f>+ROUND(D49/$D$17,0)</f>
        <v>329799</v>
      </c>
      <c r="G49" s="59"/>
    </row>
    <row r="50" spans="2:7" s="41" customFormat="1" ht="15.75" customHeight="1">
      <c r="B50" s="3"/>
      <c r="C50" s="3"/>
      <c r="D50" s="3"/>
      <c r="E50" s="29"/>
      <c r="F50" s="29"/>
      <c r="G50" s="29"/>
    </row>
    <row r="51" ht="15.75" customHeight="1">
      <c r="H51" s="29"/>
    </row>
  </sheetData>
  <mergeCells count="12">
    <mergeCell ref="G32:G33"/>
    <mergeCell ref="G29:G30"/>
    <mergeCell ref="B24:B25"/>
    <mergeCell ref="C24:C25"/>
    <mergeCell ref="B44:B45"/>
    <mergeCell ref="C44:C45"/>
    <mergeCell ref="D44:F44"/>
    <mergeCell ref="G44:G45"/>
    <mergeCell ref="D24:F24"/>
    <mergeCell ref="G24:G25"/>
    <mergeCell ref="E17:G17"/>
    <mergeCell ref="G26:G27"/>
  </mergeCells>
  <printOptions horizontalCentered="1"/>
  <pageMargins left="0.3937007874015748" right="0.1968503937007874" top="0.984251968503937" bottom="0.3937007874015748" header="0.7874015748031497" footer="0.1968503937007874"/>
  <pageSetup horizontalDpi="300" verticalDpi="300" orientation="portrait" paperSize="9" scale="95" r:id="rId1"/>
  <headerFooter alignWithMargins="0">
    <oddHeader>&amp;C&amp;"ＭＳ 明朝,太字"&amp;14モデル経営試算  &amp;A</oddHeader>
    <oddFooter>&amp;C&amp;"ＭＳ 明朝,標準"41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51"/>
  <sheetViews>
    <sheetView showGridLines="0" tabSelected="1" workbookViewId="0" topLeftCell="A1">
      <selection activeCell="E7" sqref="E7"/>
    </sheetView>
  </sheetViews>
  <sheetFormatPr defaultColWidth="9.00390625" defaultRowHeight="15.75" customHeight="1"/>
  <cols>
    <col min="1" max="1" width="0.875" style="1" customWidth="1"/>
    <col min="2" max="2" width="30.625" style="1" customWidth="1"/>
    <col min="3" max="3" width="6.625" style="1" customWidth="1"/>
    <col min="4" max="6" width="15.625" style="1" customWidth="1"/>
    <col min="7" max="7" width="18.625" style="1" customWidth="1"/>
    <col min="8" max="8" width="20.875" style="1" customWidth="1"/>
    <col min="9" max="16384" width="9.00390625" style="1" customWidth="1"/>
  </cols>
  <sheetData>
    <row r="1" spans="2:8" ht="15.75" customHeight="1">
      <c r="B1" s="2" t="s">
        <v>0</v>
      </c>
      <c r="C1" s="3"/>
      <c r="D1" s="3"/>
      <c r="E1" s="3"/>
      <c r="F1" s="3"/>
      <c r="G1" s="3"/>
      <c r="H1" s="3"/>
    </row>
    <row r="2" spans="2:11" ht="15.75" customHeight="1">
      <c r="B2" s="4" t="s">
        <v>1</v>
      </c>
      <c r="C2" s="5" t="s">
        <v>2</v>
      </c>
      <c r="D2" s="5" t="s">
        <v>3</v>
      </c>
      <c r="E2" s="6" t="s">
        <v>4</v>
      </c>
      <c r="F2" s="7"/>
      <c r="G2" s="8"/>
      <c r="I2" s="95" t="s">
        <v>83</v>
      </c>
      <c r="J2" s="95" t="s">
        <v>85</v>
      </c>
      <c r="K2" s="95" t="s">
        <v>86</v>
      </c>
    </row>
    <row r="3" spans="2:11" ht="15.75" customHeight="1">
      <c r="B3" s="9" t="s">
        <v>53</v>
      </c>
      <c r="C3" s="10" t="s">
        <v>6</v>
      </c>
      <c r="D3" s="11">
        <v>300</v>
      </c>
      <c r="E3" s="12" t="s">
        <v>70</v>
      </c>
      <c r="F3" s="13"/>
      <c r="G3" s="14"/>
      <c r="I3" s="95">
        <v>5</v>
      </c>
      <c r="J3" s="96"/>
      <c r="K3" s="97"/>
    </row>
    <row r="4" spans="2:11" ht="15.75" customHeight="1">
      <c r="B4" s="70" t="s">
        <v>78</v>
      </c>
      <c r="C4" s="71" t="s">
        <v>79</v>
      </c>
      <c r="D4" s="72">
        <v>1.5</v>
      </c>
      <c r="E4" s="73"/>
      <c r="F4" s="74"/>
      <c r="G4" s="75"/>
      <c r="I4" s="95">
        <v>4</v>
      </c>
      <c r="J4" s="96">
        <v>30</v>
      </c>
      <c r="K4" s="97">
        <v>1800</v>
      </c>
    </row>
    <row r="5" spans="2:11" ht="15.75" customHeight="1">
      <c r="B5" s="15" t="s">
        <v>71</v>
      </c>
      <c r="C5" s="16" t="s">
        <v>154</v>
      </c>
      <c r="D5" s="17">
        <v>76</v>
      </c>
      <c r="E5" s="18"/>
      <c r="F5" s="19"/>
      <c r="G5" s="20"/>
      <c r="I5" s="95">
        <v>3</v>
      </c>
      <c r="J5" s="96">
        <v>30</v>
      </c>
      <c r="K5" s="97">
        <v>1400</v>
      </c>
    </row>
    <row r="6" spans="2:11" ht="15.75" customHeight="1">
      <c r="B6" s="15" t="s">
        <v>80</v>
      </c>
      <c r="C6" s="22" t="s">
        <v>79</v>
      </c>
      <c r="D6" s="21">
        <v>25</v>
      </c>
      <c r="E6" s="18"/>
      <c r="F6" s="19"/>
      <c r="G6" s="20"/>
      <c r="I6" s="95">
        <v>2</v>
      </c>
      <c r="J6" s="96">
        <v>40</v>
      </c>
      <c r="K6" s="97">
        <v>1100</v>
      </c>
    </row>
    <row r="7" spans="2:12" ht="15.75" customHeight="1">
      <c r="B7" s="15" t="s">
        <v>81</v>
      </c>
      <c r="C7" s="16" t="s">
        <v>155</v>
      </c>
      <c r="D7" s="17">
        <v>746</v>
      </c>
      <c r="E7" s="18"/>
      <c r="F7" s="19"/>
      <c r="G7" s="20"/>
      <c r="I7" s="95" t="s">
        <v>84</v>
      </c>
      <c r="J7" s="96">
        <v>100</v>
      </c>
      <c r="K7" s="97"/>
      <c r="L7" s="98">
        <f>+SUM(J3*K3,J4*K4,J5*K5,J6*K6)/100</f>
        <v>1400</v>
      </c>
    </row>
    <row r="8" spans="2:11" ht="15.75" customHeight="1">
      <c r="B8" s="15" t="s">
        <v>73</v>
      </c>
      <c r="C8" s="22" t="s">
        <v>156</v>
      </c>
      <c r="D8" s="17">
        <v>3</v>
      </c>
      <c r="E8" s="18"/>
      <c r="F8" s="19"/>
      <c r="G8" s="20"/>
      <c r="K8" s="97">
        <v>25</v>
      </c>
    </row>
    <row r="9" spans="2:7" ht="15.75" customHeight="1">
      <c r="B9" s="15" t="s">
        <v>74</v>
      </c>
      <c r="C9" s="22" t="s">
        <v>157</v>
      </c>
      <c r="D9" s="17">
        <v>61</v>
      </c>
      <c r="E9" s="18"/>
      <c r="F9" s="19"/>
      <c r="G9" s="20"/>
    </row>
    <row r="10" spans="2:7" ht="15.75" customHeight="1">
      <c r="B10" s="99" t="s">
        <v>87</v>
      </c>
      <c r="C10" s="100" t="s">
        <v>149</v>
      </c>
      <c r="D10" s="101">
        <v>60</v>
      </c>
      <c r="E10" s="85" t="s">
        <v>139</v>
      </c>
      <c r="F10" s="102"/>
      <c r="G10" s="103"/>
    </row>
    <row r="11" spans="2:7" ht="15.75" customHeight="1">
      <c r="B11" s="76" t="s">
        <v>98</v>
      </c>
      <c r="C11" s="77" t="s">
        <v>104</v>
      </c>
      <c r="D11" s="78">
        <v>100</v>
      </c>
      <c r="E11" s="40"/>
      <c r="F11" s="79"/>
      <c r="G11" s="80"/>
    </row>
    <row r="12" spans="2:7" ht="15.75" customHeight="1">
      <c r="B12" s="29"/>
      <c r="C12" s="30"/>
      <c r="D12" s="31"/>
      <c r="E12" s="3"/>
      <c r="F12" s="3"/>
      <c r="G12" s="3"/>
    </row>
    <row r="13" spans="2:7" ht="15.75" customHeight="1">
      <c r="B13" s="32" t="s">
        <v>10</v>
      </c>
      <c r="C13" s="33"/>
      <c r="D13" s="3"/>
      <c r="E13" s="3"/>
      <c r="F13" s="3"/>
      <c r="G13" s="3"/>
    </row>
    <row r="14" spans="2:7" ht="15.75" customHeight="1">
      <c r="B14" s="4" t="s">
        <v>1</v>
      </c>
      <c r="C14" s="4" t="s">
        <v>2</v>
      </c>
      <c r="D14" s="5" t="s">
        <v>3</v>
      </c>
      <c r="E14" s="6" t="s">
        <v>111</v>
      </c>
      <c r="F14" s="7"/>
      <c r="G14" s="8"/>
    </row>
    <row r="15" spans="2:7" ht="15.75" customHeight="1">
      <c r="B15" s="9" t="s">
        <v>121</v>
      </c>
      <c r="C15" s="10" t="s">
        <v>6</v>
      </c>
      <c r="D15" s="34">
        <f>+D3</f>
        <v>300</v>
      </c>
      <c r="E15" s="12" t="s">
        <v>122</v>
      </c>
      <c r="F15" s="13"/>
      <c r="G15" s="14"/>
    </row>
    <row r="16" spans="2:7" ht="15.75" customHeight="1">
      <c r="B16" s="70" t="s">
        <v>76</v>
      </c>
      <c r="C16" s="71" t="s">
        <v>11</v>
      </c>
      <c r="D16" s="81">
        <f>+ROUND(D15*12/(D6-D4),1)</f>
        <v>153.2</v>
      </c>
      <c r="E16" s="73" t="s">
        <v>173</v>
      </c>
      <c r="F16" s="74"/>
      <c r="G16" s="75"/>
    </row>
    <row r="17" spans="2:7" ht="31.5" customHeight="1">
      <c r="B17" s="35" t="s">
        <v>54</v>
      </c>
      <c r="C17" s="71" t="s">
        <v>11</v>
      </c>
      <c r="D17" s="82">
        <f>+ROUND(D15*(100-D8)/100/((D6-D4)/12),1)</f>
        <v>148.6</v>
      </c>
      <c r="E17" s="147" t="s">
        <v>174</v>
      </c>
      <c r="F17" s="148"/>
      <c r="G17" s="149"/>
    </row>
    <row r="18" spans="2:7" ht="15.75" customHeight="1">
      <c r="B18" s="35" t="s">
        <v>72</v>
      </c>
      <c r="C18" s="22" t="s">
        <v>8</v>
      </c>
      <c r="D18" s="83">
        <f>+ROUND((D6-D4)*30.4,0)</f>
        <v>714</v>
      </c>
      <c r="E18" s="73" t="s">
        <v>175</v>
      </c>
      <c r="F18" s="19"/>
      <c r="G18" s="20"/>
    </row>
    <row r="19" spans="2:7" ht="15.75" customHeight="1">
      <c r="B19" s="35" t="s">
        <v>82</v>
      </c>
      <c r="C19" s="22" t="s">
        <v>158</v>
      </c>
      <c r="D19" s="84">
        <f>+ROUND((D7-D5)/D18,2)</f>
        <v>0.94</v>
      </c>
      <c r="E19" s="18" t="s">
        <v>124</v>
      </c>
      <c r="F19" s="19"/>
      <c r="G19" s="20"/>
    </row>
    <row r="20" spans="2:7" ht="15.75" customHeight="1">
      <c r="B20" s="35" t="s">
        <v>77</v>
      </c>
      <c r="C20" s="22" t="s">
        <v>159</v>
      </c>
      <c r="D20" s="104">
        <f>+ROUND(D7*D9/100,0)</f>
        <v>455</v>
      </c>
      <c r="E20" s="85" t="s">
        <v>125</v>
      </c>
      <c r="F20" s="19"/>
      <c r="G20" s="20"/>
    </row>
    <row r="21" spans="2:8" ht="15.75" customHeight="1">
      <c r="B21" s="86" t="s">
        <v>94</v>
      </c>
      <c r="C21" s="77" t="s">
        <v>95</v>
      </c>
      <c r="D21" s="87">
        <f>+ROUND(D3/D11,1)</f>
        <v>3</v>
      </c>
      <c r="E21" s="40" t="s">
        <v>176</v>
      </c>
      <c r="F21" s="27"/>
      <c r="G21" s="28"/>
      <c r="H21" s="3"/>
    </row>
    <row r="22" spans="2:8" ht="15.75" customHeight="1">
      <c r="B22" s="88"/>
      <c r="C22" s="89"/>
      <c r="D22" s="90"/>
      <c r="E22" s="91"/>
      <c r="F22" s="91"/>
      <c r="G22" s="91"/>
      <c r="H22" s="3"/>
    </row>
    <row r="23" spans="2:8" s="41" customFormat="1" ht="15.75" customHeight="1">
      <c r="B23" s="42" t="s">
        <v>12</v>
      </c>
      <c r="C23" s="43"/>
      <c r="D23" s="43"/>
      <c r="E23" s="43"/>
      <c r="F23" s="43"/>
      <c r="G23" s="43"/>
      <c r="H23" s="43"/>
    </row>
    <row r="24" spans="2:7" s="41" customFormat="1" ht="15.75" customHeight="1">
      <c r="B24" s="138" t="s">
        <v>1</v>
      </c>
      <c r="C24" s="140" t="s">
        <v>2</v>
      </c>
      <c r="D24" s="142" t="s">
        <v>13</v>
      </c>
      <c r="E24" s="143"/>
      <c r="F24" s="143"/>
      <c r="G24" s="140" t="s">
        <v>43</v>
      </c>
    </row>
    <row r="25" spans="2:7" s="41" customFormat="1" ht="33.75" customHeight="1">
      <c r="B25" s="139"/>
      <c r="C25" s="141"/>
      <c r="D25" s="44" t="s">
        <v>30</v>
      </c>
      <c r="E25" s="45" t="s">
        <v>137</v>
      </c>
      <c r="F25" s="46" t="s">
        <v>49</v>
      </c>
      <c r="G25" s="141"/>
    </row>
    <row r="26" spans="2:7" s="41" customFormat="1" ht="15.75" customHeight="1">
      <c r="B26" s="47" t="s">
        <v>160</v>
      </c>
      <c r="C26" s="48" t="s">
        <v>14</v>
      </c>
      <c r="D26" s="49">
        <f>SUM(D27:D29)</f>
        <v>106079310</v>
      </c>
      <c r="E26" s="49">
        <f>+ROUND(D26/$D$15,0)</f>
        <v>353598</v>
      </c>
      <c r="F26" s="49">
        <f>+ROUND(D26/$D$17,0)</f>
        <v>713858</v>
      </c>
      <c r="G26" s="144" t="s">
        <v>181</v>
      </c>
    </row>
    <row r="27" spans="2:7" s="41" customFormat="1" ht="15.75" customHeight="1">
      <c r="B27" s="50" t="s">
        <v>55</v>
      </c>
      <c r="C27" s="51" t="s">
        <v>14</v>
      </c>
      <c r="D27" s="52">
        <f>+D20*D17*G28*1.05</f>
        <v>99391110</v>
      </c>
      <c r="E27" s="52">
        <f>+ROUND(D27/$D$15,0)</f>
        <v>331304</v>
      </c>
      <c r="F27" s="52">
        <f aca="true" t="shared" si="0" ref="F27:F41">+ROUND(D27/$D$17,0)</f>
        <v>668850</v>
      </c>
      <c r="G27" s="145"/>
    </row>
    <row r="28" spans="2:7" s="41" customFormat="1" ht="15.75" customHeight="1">
      <c r="B28" s="50" t="s">
        <v>16</v>
      </c>
      <c r="C28" s="51" t="s">
        <v>14</v>
      </c>
      <c r="D28" s="52">
        <f>+E28*$D$15</f>
        <v>2017800</v>
      </c>
      <c r="E28" s="53">
        <v>6726</v>
      </c>
      <c r="F28" s="52">
        <f t="shared" si="0"/>
        <v>13579</v>
      </c>
      <c r="G28" s="54">
        <f>+L7</f>
        <v>1400</v>
      </c>
    </row>
    <row r="29" spans="2:7" s="41" customFormat="1" ht="15.75" customHeight="1">
      <c r="B29" s="50" t="s">
        <v>17</v>
      </c>
      <c r="C29" s="51" t="s">
        <v>14</v>
      </c>
      <c r="D29" s="52">
        <f>+E29*$D$15</f>
        <v>4670400</v>
      </c>
      <c r="E29" s="53">
        <v>15568</v>
      </c>
      <c r="F29" s="52">
        <f t="shared" si="0"/>
        <v>31429</v>
      </c>
      <c r="G29" s="146" t="s">
        <v>184</v>
      </c>
    </row>
    <row r="30" spans="2:7" s="41" customFormat="1" ht="15.75" customHeight="1">
      <c r="B30" s="50" t="s">
        <v>18</v>
      </c>
      <c r="C30" s="51" t="s">
        <v>14</v>
      </c>
      <c r="D30" s="52">
        <f>+SUM(D38:D40)</f>
        <v>100994100</v>
      </c>
      <c r="E30" s="52">
        <f>+SUM(E38:E40)</f>
        <v>336647</v>
      </c>
      <c r="F30" s="52">
        <f t="shared" si="0"/>
        <v>679637</v>
      </c>
      <c r="G30" s="128"/>
    </row>
    <row r="31" spans="2:7" s="41" customFormat="1" ht="15.75" customHeight="1">
      <c r="B31" s="50" t="s">
        <v>58</v>
      </c>
      <c r="C31" s="51" t="s">
        <v>14</v>
      </c>
      <c r="D31" s="52">
        <f>+E31*$D$15</f>
        <v>40747800</v>
      </c>
      <c r="E31" s="53">
        <v>135826</v>
      </c>
      <c r="F31" s="52">
        <f t="shared" si="0"/>
        <v>274211</v>
      </c>
      <c r="G31" s="54">
        <v>190000</v>
      </c>
    </row>
    <row r="32" spans="2:7" s="41" customFormat="1" ht="15.75" customHeight="1">
      <c r="B32" s="50" t="s">
        <v>59</v>
      </c>
      <c r="C32" s="51" t="s">
        <v>14</v>
      </c>
      <c r="D32" s="52">
        <f>+E32*$D$15</f>
        <v>230700</v>
      </c>
      <c r="E32" s="53">
        <v>769</v>
      </c>
      <c r="F32" s="52">
        <f t="shared" si="0"/>
        <v>1552</v>
      </c>
      <c r="G32" s="145" t="s">
        <v>183</v>
      </c>
    </row>
    <row r="33" spans="2:7" s="41" customFormat="1" ht="15.75" customHeight="1">
      <c r="B33" s="50" t="s">
        <v>63</v>
      </c>
      <c r="C33" s="51" t="s">
        <v>14</v>
      </c>
      <c r="D33" s="52">
        <f>+E33*$D$15</f>
        <v>1313700</v>
      </c>
      <c r="E33" s="53">
        <v>4379</v>
      </c>
      <c r="F33" s="52">
        <f t="shared" si="0"/>
        <v>8841</v>
      </c>
      <c r="G33" s="145"/>
    </row>
    <row r="34" spans="2:7" s="41" customFormat="1" ht="15.75" customHeight="1">
      <c r="B34" s="50" t="s">
        <v>20</v>
      </c>
      <c r="C34" s="51" t="s">
        <v>14</v>
      </c>
      <c r="D34" s="52">
        <f>+D16*G31*1.05</f>
        <v>30563399.999999996</v>
      </c>
      <c r="E34" s="52">
        <f>+D34/$D$15</f>
        <v>101877.99999999999</v>
      </c>
      <c r="F34" s="52">
        <f t="shared" si="0"/>
        <v>205676</v>
      </c>
      <c r="G34" s="54">
        <v>1500</v>
      </c>
    </row>
    <row r="35" spans="2:7" s="41" customFormat="1" ht="15.75" customHeight="1">
      <c r="B35" s="50" t="s">
        <v>21</v>
      </c>
      <c r="C35" s="51" t="s">
        <v>14</v>
      </c>
      <c r="D35" s="52">
        <f>+E35*$D$15</f>
        <v>1442100</v>
      </c>
      <c r="E35" s="53">
        <v>4807</v>
      </c>
      <c r="F35" s="52">
        <f t="shared" si="0"/>
        <v>9705</v>
      </c>
      <c r="G35" s="55"/>
    </row>
    <row r="36" spans="2:7" s="41" customFormat="1" ht="15.75" customHeight="1">
      <c r="B36" s="50" t="s">
        <v>93</v>
      </c>
      <c r="C36" s="51" t="s">
        <v>14</v>
      </c>
      <c r="D36" s="52">
        <f>+D21*G34*2000</f>
        <v>9000000</v>
      </c>
      <c r="E36" s="52">
        <f>+D36/$D$15</f>
        <v>30000</v>
      </c>
      <c r="F36" s="52">
        <f t="shared" si="0"/>
        <v>60565</v>
      </c>
      <c r="G36" s="55"/>
    </row>
    <row r="37" spans="2:7" s="41" customFormat="1" ht="15.75" customHeight="1">
      <c r="B37" s="50" t="s">
        <v>22</v>
      </c>
      <c r="C37" s="51" t="s">
        <v>14</v>
      </c>
      <c r="D37" s="52">
        <f>+E37*$D$15</f>
        <v>4129500</v>
      </c>
      <c r="E37" s="53">
        <v>13765</v>
      </c>
      <c r="F37" s="52">
        <f t="shared" si="0"/>
        <v>27789</v>
      </c>
      <c r="G37" s="55"/>
    </row>
    <row r="38" spans="2:7" s="41" customFormat="1" ht="15.75" customHeight="1">
      <c r="B38" s="50" t="s">
        <v>23</v>
      </c>
      <c r="C38" s="51" t="s">
        <v>14</v>
      </c>
      <c r="D38" s="52">
        <f>SUM(D31:D37)</f>
        <v>87427200</v>
      </c>
      <c r="E38" s="52">
        <f>SUM(E31:E37)</f>
        <v>291424</v>
      </c>
      <c r="F38" s="52">
        <f t="shared" si="0"/>
        <v>588339</v>
      </c>
      <c r="G38" s="55"/>
    </row>
    <row r="39" spans="2:7" s="41" customFormat="1" ht="15.75" customHeight="1">
      <c r="B39" s="50" t="s">
        <v>24</v>
      </c>
      <c r="C39" s="51" t="s">
        <v>14</v>
      </c>
      <c r="D39" s="52">
        <f>+E39*$D$15</f>
        <v>10833300</v>
      </c>
      <c r="E39" s="53">
        <v>36111</v>
      </c>
      <c r="F39" s="52">
        <f t="shared" si="0"/>
        <v>72902</v>
      </c>
      <c r="G39" s="55"/>
    </row>
    <row r="40" spans="2:7" s="41" customFormat="1" ht="15.75" customHeight="1">
      <c r="B40" s="50" t="s">
        <v>25</v>
      </c>
      <c r="C40" s="51" t="s">
        <v>14</v>
      </c>
      <c r="D40" s="52">
        <f>+E40*$D$15</f>
        <v>2733600</v>
      </c>
      <c r="E40" s="53">
        <v>9112</v>
      </c>
      <c r="F40" s="52">
        <f t="shared" si="0"/>
        <v>18396</v>
      </c>
      <c r="G40" s="55"/>
    </row>
    <row r="41" spans="2:7" s="41" customFormat="1" ht="15.75" customHeight="1">
      <c r="B41" s="56" t="s">
        <v>26</v>
      </c>
      <c r="C41" s="57" t="s">
        <v>14</v>
      </c>
      <c r="D41" s="58">
        <f>+D26-D30</f>
        <v>5085210</v>
      </c>
      <c r="E41" s="58">
        <f>+ROUND(D41/$D$15,0)</f>
        <v>16951</v>
      </c>
      <c r="F41" s="58">
        <f t="shared" si="0"/>
        <v>34221</v>
      </c>
      <c r="G41" s="59"/>
    </row>
    <row r="42" spans="2:7" s="41" customFormat="1" ht="15.75" customHeight="1">
      <c r="B42" s="43"/>
      <c r="C42" s="43"/>
      <c r="D42" s="43"/>
      <c r="E42" s="43"/>
      <c r="F42" s="43"/>
      <c r="G42" s="43"/>
    </row>
    <row r="43" spans="2:7" s="41" customFormat="1" ht="15.75" customHeight="1">
      <c r="B43" s="60" t="s">
        <v>38</v>
      </c>
      <c r="C43" s="61"/>
      <c r="D43" s="43"/>
      <c r="E43" s="43"/>
      <c r="F43" s="43"/>
      <c r="G43" s="43"/>
    </row>
    <row r="44" spans="2:7" s="41" customFormat="1" ht="15.75" customHeight="1">
      <c r="B44" s="138" t="s">
        <v>1</v>
      </c>
      <c r="C44" s="140" t="s">
        <v>2</v>
      </c>
      <c r="D44" s="142" t="s">
        <v>13</v>
      </c>
      <c r="E44" s="143"/>
      <c r="F44" s="143"/>
      <c r="G44" s="140" t="s">
        <v>43</v>
      </c>
    </row>
    <row r="45" spans="2:7" s="41" customFormat="1" ht="33.75" customHeight="1">
      <c r="B45" s="139"/>
      <c r="C45" s="141"/>
      <c r="D45" s="44" t="s">
        <v>30</v>
      </c>
      <c r="E45" s="45" t="s">
        <v>48</v>
      </c>
      <c r="F45" s="46" t="s">
        <v>49</v>
      </c>
      <c r="G45" s="141"/>
    </row>
    <row r="46" spans="2:7" s="41" customFormat="1" ht="12.75">
      <c r="B46" s="47" t="s">
        <v>27</v>
      </c>
      <c r="C46" s="48" t="s">
        <v>14</v>
      </c>
      <c r="D46" s="62">
        <f>+D41</f>
        <v>5085210</v>
      </c>
      <c r="E46" s="93">
        <f>+ROUND(D46/$D$15,0)</f>
        <v>16951</v>
      </c>
      <c r="F46" s="49">
        <f>+ROUND(D46/$D$17,0)</f>
        <v>34221</v>
      </c>
      <c r="G46" s="63"/>
    </row>
    <row r="47" spans="2:7" s="41" customFormat="1" ht="15.75" customHeight="1">
      <c r="B47" s="50" t="s">
        <v>28</v>
      </c>
      <c r="C47" s="51" t="s">
        <v>14</v>
      </c>
      <c r="D47" s="64">
        <f>+E47*$D$15</f>
        <v>4959000</v>
      </c>
      <c r="E47" s="65">
        <v>16530</v>
      </c>
      <c r="F47" s="52">
        <f>+ROUND(D47/$D$17,0)</f>
        <v>33371</v>
      </c>
      <c r="G47" s="55"/>
    </row>
    <row r="48" spans="2:7" s="41" customFormat="1" ht="15.75" customHeight="1">
      <c r="B48" s="50" t="s">
        <v>29</v>
      </c>
      <c r="C48" s="51" t="s">
        <v>14</v>
      </c>
      <c r="D48" s="66">
        <f>+D46-D47</f>
        <v>126210</v>
      </c>
      <c r="E48" s="94">
        <f>+ROUND(D48/$D$15,0)</f>
        <v>421</v>
      </c>
      <c r="F48" s="52">
        <f>+ROUND(D48/$D$17,0)</f>
        <v>849</v>
      </c>
      <c r="G48" s="55"/>
    </row>
    <row r="49" spans="2:7" s="41" customFormat="1" ht="15.75" customHeight="1">
      <c r="B49" s="56" t="s">
        <v>37</v>
      </c>
      <c r="C49" s="57" t="s">
        <v>14</v>
      </c>
      <c r="D49" s="67">
        <f>+E49*$D$15</f>
        <v>35569200</v>
      </c>
      <c r="E49" s="68">
        <v>118564</v>
      </c>
      <c r="F49" s="58">
        <f>+ROUND(D49/$D$17,0)</f>
        <v>239362</v>
      </c>
      <c r="G49" s="59"/>
    </row>
    <row r="50" spans="2:7" s="41" customFormat="1" ht="15.75" customHeight="1">
      <c r="B50" s="3"/>
      <c r="C50" s="3"/>
      <c r="D50" s="3"/>
      <c r="E50" s="29"/>
      <c r="F50" s="29"/>
      <c r="G50" s="29"/>
    </row>
    <row r="51" ht="15.75" customHeight="1">
      <c r="H51" s="29"/>
    </row>
  </sheetData>
  <mergeCells count="12">
    <mergeCell ref="E17:G17"/>
    <mergeCell ref="B24:B25"/>
    <mergeCell ref="C24:C25"/>
    <mergeCell ref="D24:F24"/>
    <mergeCell ref="G24:G25"/>
    <mergeCell ref="G26:G27"/>
    <mergeCell ref="B44:B45"/>
    <mergeCell ref="C44:C45"/>
    <mergeCell ref="D44:F44"/>
    <mergeCell ref="G44:G45"/>
    <mergeCell ref="G32:G33"/>
    <mergeCell ref="G29:G30"/>
  </mergeCells>
  <printOptions horizontalCentered="1"/>
  <pageMargins left="0.3937007874015748" right="0.1968503937007874" top="0.984251968503937" bottom="0.3937007874015748" header="0.7874015748031497" footer="0.1968503937007874"/>
  <pageSetup horizontalDpi="300" verticalDpi="300" orientation="portrait" paperSize="9" scale="95" r:id="rId1"/>
  <headerFooter alignWithMargins="0">
    <oddHeader>&amp;C&amp;"ＭＳ 明朝,太字"&amp;14モデル経営試算  &amp;A</oddHeader>
    <oddFooter>&amp;C&amp;"ＭＳ 明朝,標準"42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H50"/>
  <sheetViews>
    <sheetView showGridLines="0" showZeros="0" tabSelected="1" workbookViewId="0" topLeftCell="A1">
      <selection activeCell="E7" sqref="E7"/>
    </sheetView>
  </sheetViews>
  <sheetFormatPr defaultColWidth="9.00390625" defaultRowHeight="15.75" customHeight="1"/>
  <cols>
    <col min="1" max="1" width="0.875" style="1" customWidth="1"/>
    <col min="2" max="2" width="30.625" style="1" customWidth="1"/>
    <col min="3" max="3" width="6.625" style="1" customWidth="1"/>
    <col min="4" max="6" width="15.625" style="1" customWidth="1"/>
    <col min="7" max="7" width="18.625" style="1" customWidth="1"/>
    <col min="8" max="8" width="20.875" style="1" customWidth="1"/>
    <col min="9" max="16384" width="9.00390625" style="1" customWidth="1"/>
  </cols>
  <sheetData>
    <row r="1" spans="2:8" ht="15.75" customHeight="1">
      <c r="B1" s="2" t="s">
        <v>0</v>
      </c>
      <c r="C1" s="3"/>
      <c r="D1" s="3"/>
      <c r="E1" s="3"/>
      <c r="F1" s="3"/>
      <c r="G1" s="3"/>
      <c r="H1" s="3"/>
    </row>
    <row r="2" spans="2:7" ht="15.75" customHeight="1">
      <c r="B2" s="4" t="s">
        <v>1</v>
      </c>
      <c r="C2" s="5" t="s">
        <v>2</v>
      </c>
      <c r="D2" s="5" t="s">
        <v>3</v>
      </c>
      <c r="E2" s="6" t="s">
        <v>4</v>
      </c>
      <c r="F2" s="7"/>
      <c r="G2" s="8"/>
    </row>
    <row r="3" spans="2:7" ht="15.75" customHeight="1">
      <c r="B3" s="9" t="s">
        <v>53</v>
      </c>
      <c r="C3" s="10" t="s">
        <v>6</v>
      </c>
      <c r="D3" s="11">
        <v>450</v>
      </c>
      <c r="E3" s="12" t="s">
        <v>70</v>
      </c>
      <c r="F3" s="13"/>
      <c r="G3" s="14"/>
    </row>
    <row r="4" spans="2:7" ht="15.75" customHeight="1">
      <c r="B4" s="70" t="s">
        <v>78</v>
      </c>
      <c r="C4" s="71" t="s">
        <v>79</v>
      </c>
      <c r="D4" s="72">
        <v>1</v>
      </c>
      <c r="E4" s="73"/>
      <c r="F4" s="74"/>
      <c r="G4" s="75"/>
    </row>
    <row r="5" spans="2:7" ht="15.75" customHeight="1">
      <c r="B5" s="15" t="s">
        <v>71</v>
      </c>
      <c r="C5" s="16" t="s">
        <v>154</v>
      </c>
      <c r="D5" s="17">
        <v>75</v>
      </c>
      <c r="E5" s="18"/>
      <c r="F5" s="19"/>
      <c r="G5" s="20"/>
    </row>
    <row r="6" spans="2:7" ht="15.75" customHeight="1">
      <c r="B6" s="15" t="s">
        <v>80</v>
      </c>
      <c r="C6" s="22" t="s">
        <v>79</v>
      </c>
      <c r="D6" s="21">
        <v>20</v>
      </c>
      <c r="E6" s="18"/>
      <c r="F6" s="19"/>
      <c r="G6" s="20"/>
    </row>
    <row r="7" spans="2:7" ht="15.75" customHeight="1">
      <c r="B7" s="15" t="s">
        <v>81</v>
      </c>
      <c r="C7" s="16" t="s">
        <v>155</v>
      </c>
      <c r="D7" s="17">
        <v>788</v>
      </c>
      <c r="E7" s="18"/>
      <c r="F7" s="19"/>
      <c r="G7" s="20"/>
    </row>
    <row r="8" spans="2:7" ht="15.75" customHeight="1">
      <c r="B8" s="15" t="s">
        <v>73</v>
      </c>
      <c r="C8" s="22" t="s">
        <v>156</v>
      </c>
      <c r="D8" s="17">
        <v>3</v>
      </c>
      <c r="E8" s="18"/>
      <c r="F8" s="19"/>
      <c r="G8" s="20"/>
    </row>
    <row r="9" spans="2:7" ht="15.75" customHeight="1">
      <c r="B9" s="15" t="s">
        <v>74</v>
      </c>
      <c r="C9" s="22" t="s">
        <v>157</v>
      </c>
      <c r="D9" s="17">
        <v>58</v>
      </c>
      <c r="E9" s="18"/>
      <c r="F9" s="19"/>
      <c r="G9" s="20"/>
    </row>
    <row r="10" spans="2:7" ht="15.75" customHeight="1">
      <c r="B10" s="76" t="s">
        <v>98</v>
      </c>
      <c r="C10" s="77" t="s">
        <v>104</v>
      </c>
      <c r="D10" s="78">
        <v>150</v>
      </c>
      <c r="E10" s="40"/>
      <c r="F10" s="79"/>
      <c r="G10" s="80"/>
    </row>
    <row r="11" spans="2:7" ht="15.75" customHeight="1">
      <c r="B11" s="29"/>
      <c r="C11" s="30"/>
      <c r="D11" s="31"/>
      <c r="E11" s="3"/>
      <c r="F11" s="3"/>
      <c r="G11" s="3"/>
    </row>
    <row r="12" spans="2:7" ht="15.75" customHeight="1">
      <c r="B12" s="32" t="s">
        <v>10</v>
      </c>
      <c r="C12" s="33"/>
      <c r="D12" s="3"/>
      <c r="E12" s="3"/>
      <c r="F12" s="3"/>
      <c r="G12" s="3"/>
    </row>
    <row r="13" spans="2:7" ht="15.75" customHeight="1">
      <c r="B13" s="4" t="s">
        <v>1</v>
      </c>
      <c r="C13" s="4" t="s">
        <v>2</v>
      </c>
      <c r="D13" s="5" t="s">
        <v>3</v>
      </c>
      <c r="E13" s="6" t="s">
        <v>111</v>
      </c>
      <c r="F13" s="7"/>
      <c r="G13" s="8"/>
    </row>
    <row r="14" spans="2:7" ht="15.75" customHeight="1">
      <c r="B14" s="9" t="s">
        <v>121</v>
      </c>
      <c r="C14" s="10" t="s">
        <v>6</v>
      </c>
      <c r="D14" s="34">
        <f>+D3</f>
        <v>450</v>
      </c>
      <c r="E14" s="12" t="s">
        <v>122</v>
      </c>
      <c r="F14" s="13"/>
      <c r="G14" s="14"/>
    </row>
    <row r="15" spans="2:7" ht="15.75" customHeight="1">
      <c r="B15" s="70" t="s">
        <v>76</v>
      </c>
      <c r="C15" s="71" t="s">
        <v>11</v>
      </c>
      <c r="D15" s="81">
        <f>+ROUND(D14*12/(D6-D4),1)</f>
        <v>284.2</v>
      </c>
      <c r="E15" s="73" t="s">
        <v>173</v>
      </c>
      <c r="F15" s="74"/>
      <c r="G15" s="75"/>
    </row>
    <row r="16" spans="2:7" ht="31.5" customHeight="1">
      <c r="B16" s="35" t="s">
        <v>54</v>
      </c>
      <c r="C16" s="71" t="s">
        <v>11</v>
      </c>
      <c r="D16" s="82">
        <f>+ROUND(D14*(100-D8)/100/((D6-D4)/12),1)</f>
        <v>275.7</v>
      </c>
      <c r="E16" s="147" t="s">
        <v>174</v>
      </c>
      <c r="F16" s="148"/>
      <c r="G16" s="149"/>
    </row>
    <row r="17" spans="2:7" ht="15.75" customHeight="1">
      <c r="B17" s="35" t="s">
        <v>72</v>
      </c>
      <c r="C17" s="22" t="s">
        <v>8</v>
      </c>
      <c r="D17" s="83">
        <f>+ROUND((D6-D4)*30.4,0)</f>
        <v>578</v>
      </c>
      <c r="E17" s="73" t="s">
        <v>175</v>
      </c>
      <c r="F17" s="19"/>
      <c r="G17" s="20"/>
    </row>
    <row r="18" spans="2:7" ht="15.75" customHeight="1">
      <c r="B18" s="35" t="s">
        <v>82</v>
      </c>
      <c r="C18" s="22" t="s">
        <v>158</v>
      </c>
      <c r="D18" s="84">
        <f>+ROUND((D7-D5)/D17,2)</f>
        <v>1.23</v>
      </c>
      <c r="E18" s="18" t="s">
        <v>124</v>
      </c>
      <c r="F18" s="19"/>
      <c r="G18" s="20"/>
    </row>
    <row r="19" spans="2:7" ht="15.75" customHeight="1">
      <c r="B19" s="35" t="s">
        <v>77</v>
      </c>
      <c r="C19" s="22" t="s">
        <v>159</v>
      </c>
      <c r="D19" s="83">
        <f>+ROUND(D7*D9/100,0)</f>
        <v>457</v>
      </c>
      <c r="E19" s="85" t="s">
        <v>125</v>
      </c>
      <c r="F19" s="19"/>
      <c r="G19" s="20"/>
    </row>
    <row r="20" spans="2:8" ht="15.75" customHeight="1">
      <c r="B20" s="86" t="s">
        <v>94</v>
      </c>
      <c r="C20" s="77" t="s">
        <v>95</v>
      </c>
      <c r="D20" s="87">
        <f>+ROUND(D3/D10,1)</f>
        <v>3</v>
      </c>
      <c r="E20" s="40" t="s">
        <v>176</v>
      </c>
      <c r="F20" s="27"/>
      <c r="G20" s="28"/>
      <c r="H20" s="3"/>
    </row>
    <row r="21" spans="2:8" ht="15.75" customHeight="1">
      <c r="B21" s="88"/>
      <c r="C21" s="89"/>
      <c r="D21" s="90"/>
      <c r="E21" s="91"/>
      <c r="F21" s="91"/>
      <c r="G21" s="91"/>
      <c r="H21" s="3"/>
    </row>
    <row r="22" spans="2:8" s="41" customFormat="1" ht="15.75" customHeight="1">
      <c r="B22" s="42" t="s">
        <v>12</v>
      </c>
      <c r="C22" s="43"/>
      <c r="D22" s="43"/>
      <c r="E22" s="43"/>
      <c r="F22" s="43"/>
      <c r="G22" s="43"/>
      <c r="H22" s="43"/>
    </row>
    <row r="23" spans="2:7" s="41" customFormat="1" ht="15.75" customHeight="1">
      <c r="B23" s="138" t="s">
        <v>1</v>
      </c>
      <c r="C23" s="140" t="s">
        <v>2</v>
      </c>
      <c r="D23" s="142" t="s">
        <v>13</v>
      </c>
      <c r="E23" s="143"/>
      <c r="F23" s="143"/>
      <c r="G23" s="140" t="s">
        <v>43</v>
      </c>
    </row>
    <row r="24" spans="2:7" s="41" customFormat="1" ht="33.75" customHeight="1">
      <c r="B24" s="139"/>
      <c r="C24" s="141"/>
      <c r="D24" s="44" t="s">
        <v>30</v>
      </c>
      <c r="E24" s="45" t="s">
        <v>137</v>
      </c>
      <c r="F24" s="46" t="s">
        <v>49</v>
      </c>
      <c r="G24" s="141"/>
    </row>
    <row r="25" spans="2:7" s="41" customFormat="1" ht="15.75" customHeight="1">
      <c r="B25" s="47" t="s">
        <v>160</v>
      </c>
      <c r="C25" s="48" t="s">
        <v>14</v>
      </c>
      <c r="D25" s="49">
        <f>SUM(D26:D28)</f>
        <v>95696371.75000001</v>
      </c>
      <c r="E25" s="49">
        <f>+ROUND(D25/$D$14,0)</f>
        <v>212659</v>
      </c>
      <c r="F25" s="49">
        <f>+ROUND(D25/$D$16,0)</f>
        <v>347103</v>
      </c>
      <c r="G25" s="144" t="s">
        <v>181</v>
      </c>
    </row>
    <row r="26" spans="2:7" s="41" customFormat="1" ht="15.75" customHeight="1">
      <c r="B26" s="50" t="s">
        <v>55</v>
      </c>
      <c r="C26" s="51" t="s">
        <v>14</v>
      </c>
      <c r="D26" s="52">
        <f>+D19*D16*G27*1.05</f>
        <v>88637412.15</v>
      </c>
      <c r="E26" s="52">
        <f>+ROUND(D26/$D$14,0)</f>
        <v>196972</v>
      </c>
      <c r="F26" s="49">
        <f aca="true" t="shared" si="0" ref="F26:F40">+ROUND(D26/$D$16,0)</f>
        <v>321500</v>
      </c>
      <c r="G26" s="145"/>
    </row>
    <row r="27" spans="2:7" s="41" customFormat="1" ht="15.75" customHeight="1">
      <c r="B27" s="50" t="s">
        <v>16</v>
      </c>
      <c r="C27" s="51" t="s">
        <v>14</v>
      </c>
      <c r="D27" s="52">
        <f>+E27*$D$15</f>
        <v>2858199.4</v>
      </c>
      <c r="E27" s="53">
        <v>10057</v>
      </c>
      <c r="F27" s="49">
        <f t="shared" si="0"/>
        <v>10367</v>
      </c>
      <c r="G27" s="54">
        <v>670</v>
      </c>
    </row>
    <row r="28" spans="2:7" s="41" customFormat="1" ht="15.75" customHeight="1">
      <c r="B28" s="50" t="s">
        <v>17</v>
      </c>
      <c r="C28" s="51" t="s">
        <v>14</v>
      </c>
      <c r="D28" s="52">
        <f>+E28*$D$15</f>
        <v>4200760.2</v>
      </c>
      <c r="E28" s="53">
        <v>14781</v>
      </c>
      <c r="F28" s="49">
        <f t="shared" si="0"/>
        <v>15237</v>
      </c>
      <c r="G28" s="146" t="s">
        <v>184</v>
      </c>
    </row>
    <row r="29" spans="2:7" s="41" customFormat="1" ht="15.75" customHeight="1">
      <c r="B29" s="50" t="s">
        <v>18</v>
      </c>
      <c r="C29" s="51" t="s">
        <v>14</v>
      </c>
      <c r="D29" s="52">
        <f>+SUM(D37:D39)</f>
        <v>88874978.39999999</v>
      </c>
      <c r="E29" s="52">
        <f>+SUM(E37:E39)</f>
        <v>266234</v>
      </c>
      <c r="F29" s="49">
        <f t="shared" si="0"/>
        <v>322361</v>
      </c>
      <c r="G29" s="128"/>
    </row>
    <row r="30" spans="2:7" s="41" customFormat="1" ht="15.75" customHeight="1">
      <c r="B30" s="50" t="s">
        <v>58</v>
      </c>
      <c r="C30" s="51" t="s">
        <v>14</v>
      </c>
      <c r="D30" s="52">
        <f>+E30*$D$15</f>
        <v>40046622</v>
      </c>
      <c r="E30" s="53">
        <v>140910</v>
      </c>
      <c r="F30" s="49">
        <f t="shared" si="0"/>
        <v>145254</v>
      </c>
      <c r="G30" s="54">
        <v>90000</v>
      </c>
    </row>
    <row r="31" spans="2:7" s="41" customFormat="1" ht="15.75" customHeight="1">
      <c r="B31" s="50" t="s">
        <v>59</v>
      </c>
      <c r="C31" s="51" t="s">
        <v>14</v>
      </c>
      <c r="D31" s="52">
        <f>+E31*$D$15</f>
        <v>0</v>
      </c>
      <c r="E31" s="53"/>
      <c r="F31" s="49">
        <f t="shared" si="0"/>
        <v>0</v>
      </c>
      <c r="G31" s="145" t="s">
        <v>183</v>
      </c>
    </row>
    <row r="32" spans="2:7" s="41" customFormat="1" ht="15.75" customHeight="1">
      <c r="B32" s="50" t="s">
        <v>63</v>
      </c>
      <c r="C32" s="51" t="s">
        <v>14</v>
      </c>
      <c r="D32" s="52">
        <f>+E32*$D$15</f>
        <v>1138789.4</v>
      </c>
      <c r="E32" s="53">
        <v>4007</v>
      </c>
      <c r="F32" s="49">
        <f t="shared" si="0"/>
        <v>4131</v>
      </c>
      <c r="G32" s="145"/>
    </row>
    <row r="33" spans="2:7" s="41" customFormat="1" ht="15.75" customHeight="1">
      <c r="B33" s="50" t="s">
        <v>20</v>
      </c>
      <c r="C33" s="51" t="s">
        <v>14</v>
      </c>
      <c r="D33" s="52">
        <f>+D15*G30*1.05</f>
        <v>26856900</v>
      </c>
      <c r="E33" s="52">
        <f>+D33/$D$14</f>
        <v>59682</v>
      </c>
      <c r="F33" s="49">
        <f t="shared" si="0"/>
        <v>97413</v>
      </c>
      <c r="G33" s="54">
        <v>1500</v>
      </c>
    </row>
    <row r="34" spans="2:7" s="41" customFormat="1" ht="15.75" customHeight="1">
      <c r="B34" s="50" t="s">
        <v>21</v>
      </c>
      <c r="C34" s="51" t="s">
        <v>14</v>
      </c>
      <c r="D34" s="52">
        <f>+E34*$D$15</f>
        <v>1567363</v>
      </c>
      <c r="E34" s="53">
        <v>5515</v>
      </c>
      <c r="F34" s="49">
        <f t="shared" si="0"/>
        <v>5685</v>
      </c>
      <c r="G34" s="55"/>
    </row>
    <row r="35" spans="2:7" s="41" customFormat="1" ht="15.75" customHeight="1">
      <c r="B35" s="50" t="s">
        <v>93</v>
      </c>
      <c r="C35" s="51" t="s">
        <v>14</v>
      </c>
      <c r="D35" s="52">
        <f>+D20*G33*2000</f>
        <v>9000000</v>
      </c>
      <c r="E35" s="52">
        <f>+D35/$D$14</f>
        <v>20000</v>
      </c>
      <c r="F35" s="49">
        <f t="shared" si="0"/>
        <v>32644</v>
      </c>
      <c r="G35" s="55"/>
    </row>
    <row r="36" spans="2:7" s="41" customFormat="1" ht="15.75" customHeight="1">
      <c r="B36" s="50" t="s">
        <v>22</v>
      </c>
      <c r="C36" s="51" t="s">
        <v>14</v>
      </c>
      <c r="D36" s="52">
        <f>+E36*$D$15</f>
        <v>2754750.6</v>
      </c>
      <c r="E36" s="53">
        <v>9693</v>
      </c>
      <c r="F36" s="49">
        <f t="shared" si="0"/>
        <v>9992</v>
      </c>
      <c r="G36" s="55"/>
    </row>
    <row r="37" spans="2:7" s="41" customFormat="1" ht="15.75" customHeight="1">
      <c r="B37" s="50" t="s">
        <v>23</v>
      </c>
      <c r="C37" s="51" t="s">
        <v>14</v>
      </c>
      <c r="D37" s="52">
        <f>SUM(D30:D36)</f>
        <v>81364425</v>
      </c>
      <c r="E37" s="52">
        <f>SUM(E30:E36)</f>
        <v>239807</v>
      </c>
      <c r="F37" s="49">
        <f t="shared" si="0"/>
        <v>295119</v>
      </c>
      <c r="G37" s="55"/>
    </row>
    <row r="38" spans="2:7" s="41" customFormat="1" ht="15.75" customHeight="1">
      <c r="B38" s="50" t="s">
        <v>24</v>
      </c>
      <c r="C38" s="51" t="s">
        <v>14</v>
      </c>
      <c r="D38" s="52">
        <f>+E38*$D$15</f>
        <v>6233642.8</v>
      </c>
      <c r="E38" s="53">
        <v>21934</v>
      </c>
      <c r="F38" s="49">
        <f t="shared" si="0"/>
        <v>22610</v>
      </c>
      <c r="G38" s="55"/>
    </row>
    <row r="39" spans="2:7" s="41" customFormat="1" ht="15.75" customHeight="1">
      <c r="B39" s="50" t="s">
        <v>25</v>
      </c>
      <c r="C39" s="51" t="s">
        <v>14</v>
      </c>
      <c r="D39" s="52">
        <f>+E39*$D$15</f>
        <v>1276910.5999999999</v>
      </c>
      <c r="E39" s="53">
        <v>4493</v>
      </c>
      <c r="F39" s="49">
        <f t="shared" si="0"/>
        <v>4632</v>
      </c>
      <c r="G39" s="55"/>
    </row>
    <row r="40" spans="2:7" s="41" customFormat="1" ht="15.75" customHeight="1">
      <c r="B40" s="56" t="s">
        <v>26</v>
      </c>
      <c r="C40" s="57" t="s">
        <v>14</v>
      </c>
      <c r="D40" s="58">
        <f>+D25-D29</f>
        <v>6821393.350000024</v>
      </c>
      <c r="E40" s="58">
        <f>+ROUND(D40/$D$14,0)</f>
        <v>15159</v>
      </c>
      <c r="F40" s="49">
        <f t="shared" si="0"/>
        <v>24742</v>
      </c>
      <c r="G40" s="59"/>
    </row>
    <row r="41" spans="2:7" s="41" customFormat="1" ht="15.75" customHeight="1">
      <c r="B41" s="43"/>
      <c r="C41" s="43"/>
      <c r="D41" s="92"/>
      <c r="E41" s="92"/>
      <c r="F41" s="92"/>
      <c r="G41" s="43"/>
    </row>
    <row r="42" spans="2:7" s="41" customFormat="1" ht="15.75" customHeight="1">
      <c r="B42" s="60" t="s">
        <v>38</v>
      </c>
      <c r="C42" s="61"/>
      <c r="D42" s="43"/>
      <c r="E42" s="43"/>
      <c r="F42" s="43"/>
      <c r="G42" s="43"/>
    </row>
    <row r="43" spans="2:7" s="41" customFormat="1" ht="15.75" customHeight="1">
      <c r="B43" s="138" t="s">
        <v>1</v>
      </c>
      <c r="C43" s="140" t="s">
        <v>2</v>
      </c>
      <c r="D43" s="142" t="s">
        <v>13</v>
      </c>
      <c r="E43" s="143"/>
      <c r="F43" s="143"/>
      <c r="G43" s="140" t="s">
        <v>43</v>
      </c>
    </row>
    <row r="44" spans="2:7" s="41" customFormat="1" ht="33.75" customHeight="1">
      <c r="B44" s="139"/>
      <c r="C44" s="141"/>
      <c r="D44" s="44" t="s">
        <v>30</v>
      </c>
      <c r="E44" s="45" t="s">
        <v>48</v>
      </c>
      <c r="F44" s="46" t="s">
        <v>49</v>
      </c>
      <c r="G44" s="141"/>
    </row>
    <row r="45" spans="2:7" s="41" customFormat="1" ht="12.75">
      <c r="B45" s="47" t="s">
        <v>27</v>
      </c>
      <c r="C45" s="48" t="s">
        <v>14</v>
      </c>
      <c r="D45" s="62">
        <f>+D40</f>
        <v>6821393.350000024</v>
      </c>
      <c r="E45" s="93">
        <f>+ROUND(D45/$D$14,0)</f>
        <v>15159</v>
      </c>
      <c r="F45" s="49">
        <f>+ROUND(D45/$D$16,0)</f>
        <v>24742</v>
      </c>
      <c r="G45" s="63"/>
    </row>
    <row r="46" spans="2:7" s="41" customFormat="1" ht="15.75" customHeight="1">
      <c r="B46" s="50" t="s">
        <v>28</v>
      </c>
      <c r="C46" s="51" t="s">
        <v>14</v>
      </c>
      <c r="D46" s="64">
        <f>+E46*$D$14</f>
        <v>6192450</v>
      </c>
      <c r="E46" s="65">
        <v>13761</v>
      </c>
      <c r="F46" s="52">
        <f>+ROUND(D46/$D$16,0)</f>
        <v>22461</v>
      </c>
      <c r="G46" s="55"/>
    </row>
    <row r="47" spans="2:7" s="41" customFormat="1" ht="15.75" customHeight="1">
      <c r="B47" s="50" t="s">
        <v>29</v>
      </c>
      <c r="C47" s="51" t="s">
        <v>14</v>
      </c>
      <c r="D47" s="66">
        <f>+D45-D46</f>
        <v>628943.3500000238</v>
      </c>
      <c r="E47" s="94">
        <f>+ROUND(D47/$D$14,0)</f>
        <v>1398</v>
      </c>
      <c r="F47" s="52">
        <f>+ROUND(D47/$D$16,0)</f>
        <v>2281</v>
      </c>
      <c r="G47" s="55"/>
    </row>
    <row r="48" spans="2:7" s="41" customFormat="1" ht="15.75" customHeight="1">
      <c r="B48" s="56" t="s">
        <v>37</v>
      </c>
      <c r="C48" s="57" t="s">
        <v>14</v>
      </c>
      <c r="D48" s="67">
        <f>+E48*$D$14</f>
        <v>19442250</v>
      </c>
      <c r="E48" s="68">
        <v>43205</v>
      </c>
      <c r="F48" s="58">
        <f>+ROUND(D48/$D$16,0)</f>
        <v>70520</v>
      </c>
      <c r="G48" s="59"/>
    </row>
    <row r="49" spans="2:7" s="41" customFormat="1" ht="15.75" customHeight="1">
      <c r="B49" s="3"/>
      <c r="C49" s="3"/>
      <c r="D49" s="3"/>
      <c r="E49" s="29"/>
      <c r="F49" s="29"/>
      <c r="G49" s="29"/>
    </row>
    <row r="50" ht="15.75" customHeight="1">
      <c r="H50" s="29"/>
    </row>
  </sheetData>
  <mergeCells count="12">
    <mergeCell ref="E16:G16"/>
    <mergeCell ref="B23:B24"/>
    <mergeCell ref="C23:C24"/>
    <mergeCell ref="D23:F23"/>
    <mergeCell ref="G23:G24"/>
    <mergeCell ref="G25:G26"/>
    <mergeCell ref="B43:B44"/>
    <mergeCell ref="C43:C44"/>
    <mergeCell ref="D43:F43"/>
    <mergeCell ref="G43:G44"/>
    <mergeCell ref="G31:G32"/>
    <mergeCell ref="G28:G29"/>
  </mergeCells>
  <printOptions horizontalCentered="1"/>
  <pageMargins left="0.3937007874015748" right="0.1968503937007874" top="0.984251968503937" bottom="0.3937007874015748" header="0.7874015748031497" footer="0.1968503937007874"/>
  <pageSetup horizontalDpi="300" verticalDpi="300" orientation="portrait" paperSize="9" scale="95" r:id="rId1"/>
  <headerFooter alignWithMargins="0">
    <oddHeader>&amp;C&amp;"ＭＳ 明朝,太字"&amp;14モデル経営試算  &amp;A</oddHeader>
    <oddFooter>&amp;C&amp;"ＭＳ 明朝,標準"43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49"/>
  <sheetViews>
    <sheetView showGridLines="0" tabSelected="1" workbookViewId="0" topLeftCell="A1">
      <selection activeCell="E7" sqref="E7"/>
    </sheetView>
  </sheetViews>
  <sheetFormatPr defaultColWidth="9.00390625" defaultRowHeight="15.75" customHeight="1"/>
  <cols>
    <col min="1" max="1" width="0.875" style="1" customWidth="1"/>
    <col min="2" max="2" width="30.625" style="1" customWidth="1"/>
    <col min="3" max="3" width="6.625" style="1" customWidth="1"/>
    <col min="4" max="4" width="14.625" style="1" customWidth="1"/>
    <col min="5" max="6" width="15.625" style="1" customWidth="1"/>
    <col min="7" max="7" width="18.625" style="1" customWidth="1"/>
    <col min="8" max="8" width="20.875" style="1" customWidth="1"/>
    <col min="9" max="9" width="9.125" style="1" bestFit="1" customWidth="1"/>
    <col min="10" max="16384" width="9.00390625" style="1" customWidth="1"/>
  </cols>
  <sheetData>
    <row r="1" spans="2:8" ht="15.75" customHeight="1">
      <c r="B1" s="2" t="s">
        <v>0</v>
      </c>
      <c r="C1" s="3"/>
      <c r="D1" s="3"/>
      <c r="E1" s="3"/>
      <c r="F1" s="3"/>
      <c r="G1" s="3"/>
      <c r="H1" s="3"/>
    </row>
    <row r="2" spans="2:7" ht="15.75" customHeight="1">
      <c r="B2" s="4" t="s">
        <v>1</v>
      </c>
      <c r="C2" s="5" t="s">
        <v>2</v>
      </c>
      <c r="D2" s="5" t="s">
        <v>3</v>
      </c>
      <c r="E2" s="6" t="s">
        <v>4</v>
      </c>
      <c r="F2" s="7"/>
      <c r="G2" s="8"/>
    </row>
    <row r="3" spans="2:7" ht="15.75" customHeight="1">
      <c r="B3" s="9" t="s">
        <v>5</v>
      </c>
      <c r="C3" s="10" t="s">
        <v>6</v>
      </c>
      <c r="D3" s="11">
        <v>180</v>
      </c>
      <c r="E3" s="12" t="s">
        <v>143</v>
      </c>
      <c r="F3" s="13"/>
      <c r="G3" s="14"/>
    </row>
    <row r="4" spans="2:7" ht="15.75" customHeight="1">
      <c r="B4" s="15" t="s">
        <v>126</v>
      </c>
      <c r="C4" s="16" t="s">
        <v>144</v>
      </c>
      <c r="D4" s="17">
        <v>30</v>
      </c>
      <c r="E4" s="18"/>
      <c r="F4" s="19"/>
      <c r="G4" s="20"/>
    </row>
    <row r="5" spans="2:7" ht="15.75" customHeight="1">
      <c r="B5" s="15" t="s">
        <v>145</v>
      </c>
      <c r="C5" s="16" t="s">
        <v>7</v>
      </c>
      <c r="D5" s="21">
        <v>2.2</v>
      </c>
      <c r="E5" s="18" t="s">
        <v>180</v>
      </c>
      <c r="F5" s="19"/>
      <c r="G5" s="20"/>
    </row>
    <row r="6" spans="2:7" ht="15.75" customHeight="1">
      <c r="B6" s="15" t="s">
        <v>39</v>
      </c>
      <c r="C6" s="22" t="s">
        <v>6</v>
      </c>
      <c r="D6" s="21">
        <v>10.4</v>
      </c>
      <c r="E6" s="18" t="s">
        <v>40</v>
      </c>
      <c r="F6" s="19"/>
      <c r="G6" s="20"/>
    </row>
    <row r="7" spans="2:7" ht="15.75" customHeight="1">
      <c r="B7" s="15" t="s">
        <v>146</v>
      </c>
      <c r="C7" s="16" t="s">
        <v>147</v>
      </c>
      <c r="D7" s="17">
        <v>90</v>
      </c>
      <c r="E7" s="18" t="s">
        <v>33</v>
      </c>
      <c r="F7" s="19"/>
      <c r="G7" s="20"/>
    </row>
    <row r="8" spans="2:7" ht="15.75" customHeight="1">
      <c r="B8" s="15" t="s">
        <v>148</v>
      </c>
      <c r="C8" s="22" t="s">
        <v>149</v>
      </c>
      <c r="D8" s="17">
        <v>4</v>
      </c>
      <c r="E8" s="18" t="s">
        <v>34</v>
      </c>
      <c r="F8" s="19"/>
      <c r="G8" s="20"/>
    </row>
    <row r="9" spans="2:7" ht="15.75" customHeight="1">
      <c r="B9" s="15" t="s">
        <v>31</v>
      </c>
      <c r="C9" s="22" t="s">
        <v>8</v>
      </c>
      <c r="D9" s="17">
        <v>185</v>
      </c>
      <c r="E9" s="18" t="s">
        <v>35</v>
      </c>
      <c r="F9" s="19"/>
      <c r="G9" s="20"/>
    </row>
    <row r="10" spans="2:7" ht="15.75" customHeight="1">
      <c r="B10" s="15" t="s">
        <v>32</v>
      </c>
      <c r="C10" s="22" t="s">
        <v>150</v>
      </c>
      <c r="D10" s="17">
        <v>114</v>
      </c>
      <c r="E10" s="18" t="s">
        <v>36</v>
      </c>
      <c r="F10" s="19"/>
      <c r="G10" s="20"/>
    </row>
    <row r="11" spans="2:7" ht="15.75" customHeight="1">
      <c r="B11" s="15" t="s">
        <v>128</v>
      </c>
      <c r="C11" s="22" t="s">
        <v>9</v>
      </c>
      <c r="D11" s="17">
        <v>65</v>
      </c>
      <c r="E11" s="18"/>
      <c r="F11" s="19"/>
      <c r="G11" s="20"/>
    </row>
    <row r="12" spans="2:7" ht="15.75" customHeight="1">
      <c r="B12" s="23" t="s">
        <v>92</v>
      </c>
      <c r="C12" s="24" t="s">
        <v>104</v>
      </c>
      <c r="D12" s="25">
        <v>67</v>
      </c>
      <c r="E12" s="26"/>
      <c r="F12" s="27"/>
      <c r="G12" s="28"/>
    </row>
    <row r="13" spans="2:7" ht="15.75" customHeight="1">
      <c r="B13" s="29"/>
      <c r="C13" s="30"/>
      <c r="D13" s="31"/>
      <c r="E13" s="3"/>
      <c r="F13" s="3"/>
      <c r="G13" s="3"/>
    </row>
    <row r="14" spans="2:7" ht="15.75" customHeight="1">
      <c r="B14" s="32" t="s">
        <v>10</v>
      </c>
      <c r="C14" s="33"/>
      <c r="D14" s="3"/>
      <c r="E14" s="3"/>
      <c r="F14" s="3"/>
      <c r="G14" s="3"/>
    </row>
    <row r="15" spans="2:7" ht="15.75" customHeight="1">
      <c r="B15" s="4" t="s">
        <v>1</v>
      </c>
      <c r="C15" s="4" t="s">
        <v>2</v>
      </c>
      <c r="D15" s="5" t="s">
        <v>3</v>
      </c>
      <c r="E15" s="6" t="s">
        <v>111</v>
      </c>
      <c r="F15" s="7"/>
      <c r="G15" s="8"/>
    </row>
    <row r="16" spans="2:7" ht="15.75" customHeight="1">
      <c r="B16" s="9" t="s">
        <v>123</v>
      </c>
      <c r="C16" s="10" t="s">
        <v>6</v>
      </c>
      <c r="D16" s="34">
        <f>+D3</f>
        <v>180</v>
      </c>
      <c r="E16" s="12" t="s">
        <v>133</v>
      </c>
      <c r="F16" s="13"/>
      <c r="G16" s="14"/>
    </row>
    <row r="17" spans="2:7" ht="15.75" customHeight="1">
      <c r="B17" s="35" t="s">
        <v>127</v>
      </c>
      <c r="C17" s="22" t="s">
        <v>6</v>
      </c>
      <c r="D17" s="36">
        <f>+ROUND(D16*D4/100,0)</f>
        <v>54</v>
      </c>
      <c r="E17" s="18" t="s">
        <v>134</v>
      </c>
      <c r="F17" s="19"/>
      <c r="G17" s="20"/>
    </row>
    <row r="18" spans="2:7" ht="15.75" customHeight="1">
      <c r="B18" s="35" t="s">
        <v>130</v>
      </c>
      <c r="C18" s="22" t="s">
        <v>6</v>
      </c>
      <c r="D18" s="36">
        <f>+ROUND(D3*D5*D6,0)</f>
        <v>4118</v>
      </c>
      <c r="E18" s="18" t="s">
        <v>177</v>
      </c>
      <c r="F18" s="19"/>
      <c r="G18" s="20"/>
    </row>
    <row r="19" spans="2:7" ht="15.75" customHeight="1">
      <c r="B19" s="35" t="s">
        <v>131</v>
      </c>
      <c r="C19" s="22" t="s">
        <v>6</v>
      </c>
      <c r="D19" s="36">
        <f>+ROUND(D18*D7/100,0)</f>
        <v>3706</v>
      </c>
      <c r="E19" s="18" t="s">
        <v>135</v>
      </c>
      <c r="F19" s="19"/>
      <c r="G19" s="20"/>
    </row>
    <row r="20" spans="2:7" ht="15.75" customHeight="1">
      <c r="B20" s="35" t="s">
        <v>132</v>
      </c>
      <c r="C20" s="22" t="s">
        <v>6</v>
      </c>
      <c r="D20" s="36">
        <f>+ROUND((D19*(1-D8/100)),0)</f>
        <v>3558</v>
      </c>
      <c r="E20" s="18" t="s">
        <v>178</v>
      </c>
      <c r="F20" s="19"/>
      <c r="G20" s="20"/>
    </row>
    <row r="21" spans="2:7" ht="15.75" customHeight="1">
      <c r="B21" s="35" t="s">
        <v>129</v>
      </c>
      <c r="C21" s="22" t="s">
        <v>9</v>
      </c>
      <c r="D21" s="37">
        <f>+ROUND(D10*D11/100,1)</f>
        <v>74.1</v>
      </c>
      <c r="E21" s="18" t="s">
        <v>136</v>
      </c>
      <c r="F21" s="19"/>
      <c r="G21" s="20"/>
    </row>
    <row r="22" spans="2:8" ht="15.75" customHeight="1">
      <c r="B22" s="38" t="s">
        <v>94</v>
      </c>
      <c r="C22" s="24" t="s">
        <v>95</v>
      </c>
      <c r="D22" s="39">
        <f>+ROUNDUP(D3/D12,1)</f>
        <v>2.7</v>
      </c>
      <c r="E22" s="40" t="s">
        <v>179</v>
      </c>
      <c r="F22" s="27"/>
      <c r="G22" s="28"/>
      <c r="H22" s="3"/>
    </row>
    <row r="23" spans="2:8" ht="15.75" customHeight="1">
      <c r="B23" s="3"/>
      <c r="C23" s="3"/>
      <c r="D23" s="3"/>
      <c r="E23" s="3"/>
      <c r="F23" s="3"/>
      <c r="G23" s="3"/>
      <c r="H23" s="3"/>
    </row>
    <row r="24" spans="2:7" s="41" customFormat="1" ht="15.75" customHeight="1">
      <c r="B24" s="42" t="s">
        <v>12</v>
      </c>
      <c r="C24" s="43"/>
      <c r="D24" s="43"/>
      <c r="E24" s="43"/>
      <c r="F24" s="43"/>
      <c r="G24" s="43"/>
    </row>
    <row r="25" spans="2:7" s="41" customFormat="1" ht="12.75">
      <c r="B25" s="138" t="s">
        <v>1</v>
      </c>
      <c r="C25" s="140" t="s">
        <v>2</v>
      </c>
      <c r="D25" s="142" t="s">
        <v>13</v>
      </c>
      <c r="E25" s="143"/>
      <c r="F25" s="143"/>
      <c r="G25" s="140" t="s">
        <v>43</v>
      </c>
    </row>
    <row r="26" spans="2:7" s="41" customFormat="1" ht="33.75" customHeight="1">
      <c r="B26" s="139"/>
      <c r="C26" s="141"/>
      <c r="D26" s="44" t="s">
        <v>30</v>
      </c>
      <c r="E26" s="45" t="s">
        <v>151</v>
      </c>
      <c r="F26" s="46" t="s">
        <v>152</v>
      </c>
      <c r="G26" s="141"/>
    </row>
    <row r="27" spans="2:7" s="41" customFormat="1" ht="15.75" customHeight="1">
      <c r="B27" s="47" t="s">
        <v>153</v>
      </c>
      <c r="C27" s="48" t="s">
        <v>14</v>
      </c>
      <c r="D27" s="49">
        <f>SUM(D28:D30)</f>
        <v>109360328.39999999</v>
      </c>
      <c r="E27" s="49">
        <f>SUM(E28:E30)</f>
        <v>607557</v>
      </c>
      <c r="F27" s="49">
        <f>SUM(F28:F30)</f>
        <v>30736.461045531196</v>
      </c>
      <c r="G27" s="144" t="s">
        <v>181</v>
      </c>
    </row>
    <row r="28" spans="2:7" s="41" customFormat="1" ht="15.75" customHeight="1">
      <c r="B28" s="50" t="s">
        <v>15</v>
      </c>
      <c r="C28" s="51" t="s">
        <v>14</v>
      </c>
      <c r="D28" s="52">
        <f>+D21*G29*D20*1.05</f>
        <v>99658868.39999999</v>
      </c>
      <c r="E28" s="52">
        <f>+ROUND(D28/$D$16,0)</f>
        <v>553660</v>
      </c>
      <c r="F28" s="52">
        <f>+D28/$D$20</f>
        <v>28009.8</v>
      </c>
      <c r="G28" s="145"/>
    </row>
    <row r="29" spans="2:7" s="41" customFormat="1" ht="15.75" customHeight="1">
      <c r="B29" s="50" t="s">
        <v>16</v>
      </c>
      <c r="C29" s="51" t="s">
        <v>14</v>
      </c>
      <c r="D29" s="52">
        <f>+E29*$D$16</f>
        <v>2028240</v>
      </c>
      <c r="E29" s="53">
        <v>11268</v>
      </c>
      <c r="F29" s="52">
        <f>+D29/$D$20</f>
        <v>570.0505902192243</v>
      </c>
      <c r="G29" s="54">
        <v>360</v>
      </c>
    </row>
    <row r="30" spans="2:7" s="41" customFormat="1" ht="15.75" customHeight="1">
      <c r="B30" s="50" t="s">
        <v>17</v>
      </c>
      <c r="C30" s="51" t="s">
        <v>14</v>
      </c>
      <c r="D30" s="52">
        <f>+E30*$D$16</f>
        <v>7673220</v>
      </c>
      <c r="E30" s="53">
        <v>42629</v>
      </c>
      <c r="F30" s="52">
        <f>+D30/$D$20</f>
        <v>2156.610455311973</v>
      </c>
      <c r="G30" s="146" t="s">
        <v>182</v>
      </c>
    </row>
    <row r="31" spans="2:7" s="41" customFormat="1" ht="15.75" customHeight="1">
      <c r="B31" s="50" t="s">
        <v>18</v>
      </c>
      <c r="C31" s="51" t="s">
        <v>14</v>
      </c>
      <c r="D31" s="52">
        <f>+SUM(D37:D39)</f>
        <v>96756972</v>
      </c>
      <c r="E31" s="52">
        <f>+SUM(E37:E39)</f>
        <v>537539</v>
      </c>
      <c r="F31" s="52">
        <f>+SUM(F37:F39)</f>
        <v>27194.807757166946</v>
      </c>
      <c r="G31" s="128"/>
    </row>
    <row r="32" spans="2:7" s="41" customFormat="1" ht="15.75" customHeight="1">
      <c r="B32" s="50" t="s">
        <v>19</v>
      </c>
      <c r="C32" s="51" t="s">
        <v>14</v>
      </c>
      <c r="D32" s="52">
        <f>+F32*$D$20</f>
        <v>52057098</v>
      </c>
      <c r="E32" s="52">
        <f>+ROUND(D32/$D$16,0)</f>
        <v>289206</v>
      </c>
      <c r="F32" s="53">
        <v>14631</v>
      </c>
      <c r="G32" s="54">
        <v>65000</v>
      </c>
    </row>
    <row r="33" spans="2:7" s="41" customFormat="1" ht="15.75" customHeight="1">
      <c r="B33" s="50" t="s">
        <v>20</v>
      </c>
      <c r="C33" s="51" t="s">
        <v>14</v>
      </c>
      <c r="D33" s="52">
        <f>+$D$17*G32*1.05</f>
        <v>3685500</v>
      </c>
      <c r="E33" s="52">
        <f>+ROUND(D33/$D$16,0)</f>
        <v>20475</v>
      </c>
      <c r="F33" s="52">
        <f>+ROUND(D33/$D$20,0)</f>
        <v>1036</v>
      </c>
      <c r="G33" s="145" t="s">
        <v>183</v>
      </c>
    </row>
    <row r="34" spans="2:7" s="41" customFormat="1" ht="15.75" customHeight="1">
      <c r="B34" s="50" t="s">
        <v>21</v>
      </c>
      <c r="C34" s="51" t="s">
        <v>14</v>
      </c>
      <c r="D34" s="52">
        <f>+F34*$D$20</f>
        <v>4927830</v>
      </c>
      <c r="E34" s="52">
        <f>+ROUND(D34/$D$16,0)</f>
        <v>27377</v>
      </c>
      <c r="F34" s="53">
        <v>1385</v>
      </c>
      <c r="G34" s="145"/>
    </row>
    <row r="35" spans="2:7" s="41" customFormat="1" ht="15.75" customHeight="1">
      <c r="B35" s="50" t="s">
        <v>93</v>
      </c>
      <c r="C35" s="51" t="s">
        <v>14</v>
      </c>
      <c r="D35" s="52">
        <f>+D22*G35*2000</f>
        <v>8100000.000000001</v>
      </c>
      <c r="E35" s="52">
        <f>+ROUND(D35/$D$16,0)</f>
        <v>45000</v>
      </c>
      <c r="F35" s="52">
        <f>+ROUND(D35/$D$20,0)</f>
        <v>2277</v>
      </c>
      <c r="G35" s="54">
        <v>1500</v>
      </c>
    </row>
    <row r="36" spans="2:7" s="41" customFormat="1" ht="15.75" customHeight="1">
      <c r="B36" s="50" t="s">
        <v>22</v>
      </c>
      <c r="C36" s="51" t="s">
        <v>14</v>
      </c>
      <c r="D36" s="52">
        <f>+E36*$D$16</f>
        <v>9945900</v>
      </c>
      <c r="E36" s="53">
        <v>55255</v>
      </c>
      <c r="F36" s="52">
        <f>+D36/$D$20</f>
        <v>2795.362563237774</v>
      </c>
      <c r="G36" s="55"/>
    </row>
    <row r="37" spans="2:7" s="41" customFormat="1" ht="15.75" customHeight="1">
      <c r="B37" s="50" t="s">
        <v>23</v>
      </c>
      <c r="C37" s="51" t="s">
        <v>14</v>
      </c>
      <c r="D37" s="52">
        <f>SUM(D32:D36)</f>
        <v>78716328</v>
      </c>
      <c r="E37" s="52">
        <f>SUM(E32:E36)</f>
        <v>437313</v>
      </c>
      <c r="F37" s="52">
        <f>SUM(F32:F36)</f>
        <v>22124.362563237773</v>
      </c>
      <c r="G37" s="55"/>
    </row>
    <row r="38" spans="2:7" s="41" customFormat="1" ht="15.75" customHeight="1">
      <c r="B38" s="50" t="s">
        <v>24</v>
      </c>
      <c r="C38" s="51" t="s">
        <v>14</v>
      </c>
      <c r="D38" s="52">
        <f>+F38*$D$20</f>
        <v>15861564</v>
      </c>
      <c r="E38" s="52">
        <f>+ROUND(D38/$D$16,0)</f>
        <v>88120</v>
      </c>
      <c r="F38" s="53">
        <v>4458</v>
      </c>
      <c r="G38" s="55"/>
    </row>
    <row r="39" spans="2:7" s="41" customFormat="1" ht="15.75" customHeight="1">
      <c r="B39" s="50" t="s">
        <v>25</v>
      </c>
      <c r="C39" s="51" t="s">
        <v>14</v>
      </c>
      <c r="D39" s="52">
        <f>+E39*$D$16</f>
        <v>2179080</v>
      </c>
      <c r="E39" s="53">
        <v>12106</v>
      </c>
      <c r="F39" s="52">
        <f>+D39/$D$20</f>
        <v>612.4451939291737</v>
      </c>
      <c r="G39" s="55"/>
    </row>
    <row r="40" spans="2:7" s="41" customFormat="1" ht="15.75" customHeight="1">
      <c r="B40" s="56" t="s">
        <v>26</v>
      </c>
      <c r="C40" s="57" t="s">
        <v>14</v>
      </c>
      <c r="D40" s="58">
        <f>+D27-D31</f>
        <v>12603356.399999991</v>
      </c>
      <c r="E40" s="58">
        <f>+E27-E31</f>
        <v>70018</v>
      </c>
      <c r="F40" s="58">
        <f>+F27-F31</f>
        <v>3541.6532883642503</v>
      </c>
      <c r="G40" s="59"/>
    </row>
    <row r="41" spans="2:7" s="41" customFormat="1" ht="15.75" customHeight="1">
      <c r="B41" s="43"/>
      <c r="C41" s="43"/>
      <c r="D41" s="43"/>
      <c r="E41" s="43"/>
      <c r="F41" s="43"/>
      <c r="G41" s="43"/>
    </row>
    <row r="42" spans="2:7" s="41" customFormat="1" ht="15.75" customHeight="1">
      <c r="B42" s="60" t="s">
        <v>38</v>
      </c>
      <c r="C42" s="61"/>
      <c r="D42" s="43"/>
      <c r="E42" s="43"/>
      <c r="F42" s="43"/>
      <c r="G42" s="43"/>
    </row>
    <row r="43" spans="2:7" s="41" customFormat="1" ht="15.75" customHeight="1">
      <c r="B43" s="138" t="s">
        <v>1</v>
      </c>
      <c r="C43" s="140" t="s">
        <v>2</v>
      </c>
      <c r="D43" s="142" t="s">
        <v>13</v>
      </c>
      <c r="E43" s="143"/>
      <c r="F43" s="143"/>
      <c r="G43" s="140" t="s">
        <v>43</v>
      </c>
    </row>
    <row r="44" spans="2:7" s="41" customFormat="1" ht="33.75" customHeight="1">
      <c r="B44" s="139"/>
      <c r="C44" s="141"/>
      <c r="D44" s="44" t="s">
        <v>30</v>
      </c>
      <c r="E44" s="45" t="s">
        <v>151</v>
      </c>
      <c r="F44" s="46" t="s">
        <v>152</v>
      </c>
      <c r="G44" s="141"/>
    </row>
    <row r="45" spans="2:7" s="41" customFormat="1" ht="12.75">
      <c r="B45" s="47" t="s">
        <v>27</v>
      </c>
      <c r="C45" s="48" t="s">
        <v>14</v>
      </c>
      <c r="D45" s="62">
        <f>+D40</f>
        <v>12603356.399999991</v>
      </c>
      <c r="E45" s="62">
        <f>+E40</f>
        <v>70018</v>
      </c>
      <c r="F45" s="62">
        <f>+F40</f>
        <v>3541.6532883642503</v>
      </c>
      <c r="G45" s="63"/>
    </row>
    <row r="46" spans="2:7" s="41" customFormat="1" ht="15.75" customHeight="1">
      <c r="B46" s="50" t="s">
        <v>28</v>
      </c>
      <c r="C46" s="51" t="s">
        <v>14</v>
      </c>
      <c r="D46" s="64">
        <f>+E46*$D$16</f>
        <v>3019500</v>
      </c>
      <c r="E46" s="65">
        <v>16775</v>
      </c>
      <c r="F46" s="52">
        <f>+ROUND(D46/$D$20,0)</f>
        <v>849</v>
      </c>
      <c r="G46" s="55"/>
    </row>
    <row r="47" spans="2:7" s="41" customFormat="1" ht="15.75" customHeight="1">
      <c r="B47" s="50" t="s">
        <v>29</v>
      </c>
      <c r="C47" s="51" t="s">
        <v>14</v>
      </c>
      <c r="D47" s="66">
        <f>+D45-D46</f>
        <v>9583856.399999991</v>
      </c>
      <c r="E47" s="66">
        <f>+E45-E46</f>
        <v>53243</v>
      </c>
      <c r="F47" s="66">
        <f>+F45-F46</f>
        <v>2692.6532883642503</v>
      </c>
      <c r="G47" s="55"/>
    </row>
    <row r="48" spans="2:7" s="41" customFormat="1" ht="15.75" customHeight="1">
      <c r="B48" s="56" t="s">
        <v>37</v>
      </c>
      <c r="C48" s="57" t="s">
        <v>14</v>
      </c>
      <c r="D48" s="67">
        <f>+E48*$D$16</f>
        <v>24539580</v>
      </c>
      <c r="E48" s="68">
        <v>136331</v>
      </c>
      <c r="F48" s="58">
        <f>+ROUND(D48/$D$20,0)</f>
        <v>6897</v>
      </c>
      <c r="G48" s="59"/>
    </row>
    <row r="49" spans="2:8" s="41" customFormat="1" ht="15.75" customHeight="1">
      <c r="B49" s="3"/>
      <c r="C49" s="3"/>
      <c r="D49" s="3"/>
      <c r="E49" s="29"/>
      <c r="F49" s="29"/>
      <c r="G49" s="29"/>
      <c r="H49" s="69"/>
    </row>
  </sheetData>
  <mergeCells count="11">
    <mergeCell ref="D25:F25"/>
    <mergeCell ref="G25:G26"/>
    <mergeCell ref="G27:G28"/>
    <mergeCell ref="D43:F43"/>
    <mergeCell ref="G43:G44"/>
    <mergeCell ref="G33:G34"/>
    <mergeCell ref="G30:G31"/>
    <mergeCell ref="B43:B44"/>
    <mergeCell ref="B25:B26"/>
    <mergeCell ref="C25:C26"/>
    <mergeCell ref="C43:C44"/>
  </mergeCells>
  <printOptions horizontalCentered="1"/>
  <pageMargins left="0.3937007874015748" right="0.1968503937007874" top="0.984251968503937" bottom="0.3937007874015748" header="0.7874015748031497" footer="0.1968503937007874"/>
  <pageSetup horizontalDpi="300" verticalDpi="300" orientation="portrait" paperSize="9" scale="95" r:id="rId1"/>
  <headerFooter alignWithMargins="0">
    <oddHeader>&amp;C&amp;"ＭＳ 明朝,太字"&amp;14モデル経営試算  &amp;A</oddHeader>
    <oddFooter>&amp;C&amp;"ＭＳ 明朝,標準"44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chiku-191</cp:lastModifiedBy>
  <cp:lastPrinted>2005-09-20T08:55:41Z</cp:lastPrinted>
  <dcterms:created xsi:type="dcterms:W3CDTF">1997-01-08T22:48:59Z</dcterms:created>
  <dcterms:modified xsi:type="dcterms:W3CDTF">2005-09-20T08:56:33Z</dcterms:modified>
  <cp:category/>
  <cp:version/>
  <cp:contentType/>
  <cp:contentStatus/>
</cp:coreProperties>
</file>